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serv\Upload\ФИН\Решение Думы 2025\Годовой после публичных\Исполнение для граждан\"/>
    </mc:Choice>
  </mc:AlternateContent>
  <bookViews>
    <workbookView xWindow="480" yWindow="540" windowWidth="20730" windowHeight="11340"/>
  </bookViews>
  <sheets>
    <sheet name="Изменения 2023" sheetId="1" r:id="rId1"/>
  </sheets>
  <definedNames>
    <definedName name="_xlnm._FilterDatabase" localSheetId="0" hidden="1">'Изменения 2023'!$C$20:$L$147</definedName>
    <definedName name="_xlnm.Print_Area" localSheetId="0">'Изменения 2023'!$A$1:$O$147</definedName>
  </definedNames>
  <calcPr calcId="152511"/>
</workbook>
</file>

<file path=xl/calcChain.xml><?xml version="1.0" encoding="utf-8"?>
<calcChain xmlns="http://schemas.openxmlformats.org/spreadsheetml/2006/main">
  <c r="C54" i="1" l="1"/>
  <c r="C25" i="1"/>
  <c r="N145" i="1" l="1"/>
  <c r="O145" i="1" s="1"/>
  <c r="N143" i="1"/>
  <c r="O143" i="1" s="1"/>
  <c r="N138" i="1"/>
  <c r="N137" i="1"/>
  <c r="N136" i="1"/>
  <c r="N135" i="1"/>
  <c r="N133" i="1"/>
  <c r="O133" i="1" s="1"/>
  <c r="N126" i="1"/>
  <c r="O126" i="1" s="1"/>
  <c r="N127" i="1"/>
  <c r="O127" i="1" s="1"/>
  <c r="N128" i="1"/>
  <c r="O128" i="1" s="1"/>
  <c r="N130" i="1"/>
  <c r="O130" i="1" s="1"/>
  <c r="N122" i="1"/>
  <c r="N124" i="1"/>
  <c r="N117" i="1"/>
  <c r="O117" i="1" s="1"/>
  <c r="N118" i="1"/>
  <c r="O118" i="1" s="1"/>
  <c r="N119" i="1"/>
  <c r="O119" i="1" s="1"/>
  <c r="N115" i="1"/>
  <c r="O115" i="1" s="1"/>
  <c r="N110" i="1"/>
  <c r="N113" i="1"/>
  <c r="O113" i="1" s="1"/>
  <c r="E111" i="1"/>
  <c r="D111" i="1"/>
  <c r="C111" i="1"/>
  <c r="N107" i="1"/>
  <c r="O107" i="1" s="1"/>
  <c r="N106" i="1"/>
  <c r="O106" i="1" s="1"/>
  <c r="N104" i="1"/>
  <c r="O104" i="1" s="1"/>
  <c r="N103" i="1"/>
  <c r="O103" i="1" s="1"/>
  <c r="N102" i="1"/>
  <c r="O102" i="1" s="1"/>
  <c r="N101" i="1"/>
  <c r="O101" i="1" s="1"/>
  <c r="C43" i="1"/>
  <c r="D31" i="1"/>
  <c r="E31" i="1"/>
  <c r="F31" i="1"/>
  <c r="G31" i="1"/>
  <c r="H31" i="1"/>
  <c r="I31" i="1"/>
  <c r="K31" i="1"/>
  <c r="L31" i="1"/>
  <c r="M31" i="1"/>
  <c r="D43" i="1"/>
  <c r="E43" i="1"/>
  <c r="F43" i="1"/>
  <c r="G43" i="1"/>
  <c r="H43" i="1"/>
  <c r="I43" i="1"/>
  <c r="K43" i="1"/>
  <c r="L43" i="1"/>
  <c r="M43" i="1"/>
  <c r="M130" i="1"/>
  <c r="M129" i="1"/>
  <c r="N129" i="1" s="1"/>
  <c r="O129" i="1" s="1"/>
  <c r="M133" i="1"/>
  <c r="M132" i="1"/>
  <c r="N132" i="1" s="1"/>
  <c r="O132" i="1" s="1"/>
  <c r="M127" i="1"/>
  <c r="M126" i="1"/>
  <c r="M140" i="1"/>
  <c r="N140" i="1" s="1"/>
  <c r="O140" i="1" s="1"/>
  <c r="M141" i="1"/>
  <c r="N141" i="1" s="1"/>
  <c r="O141" i="1" s="1"/>
  <c r="M116" i="1"/>
  <c r="N116" i="1" s="1"/>
  <c r="O116" i="1" s="1"/>
  <c r="M123" i="1"/>
  <c r="N123" i="1" s="1"/>
  <c r="M121" i="1"/>
  <c r="N121" i="1" s="1"/>
  <c r="M119" i="1"/>
  <c r="M117" i="1"/>
  <c r="M110" i="1"/>
  <c r="M106" i="1"/>
  <c r="M105" i="1"/>
  <c r="N105" i="1" s="1"/>
  <c r="O105" i="1" s="1"/>
  <c r="M103" i="1"/>
  <c r="M112" i="1"/>
  <c r="N112" i="1" s="1"/>
  <c r="O112" i="1" s="1"/>
  <c r="M108" i="1"/>
  <c r="N108" i="1" s="1"/>
  <c r="O108" i="1" s="1"/>
  <c r="O111" i="1" l="1"/>
  <c r="D114" i="1"/>
  <c r="E114" i="1"/>
  <c r="F114" i="1"/>
  <c r="G114" i="1"/>
  <c r="H114" i="1"/>
  <c r="I114" i="1"/>
  <c r="J114" i="1"/>
  <c r="K114" i="1"/>
  <c r="L114" i="1"/>
  <c r="M114" i="1"/>
  <c r="C114" i="1"/>
  <c r="D139" i="1"/>
  <c r="E139" i="1"/>
  <c r="F139" i="1"/>
  <c r="G139" i="1"/>
  <c r="H139" i="1"/>
  <c r="I139" i="1"/>
  <c r="J139" i="1"/>
  <c r="K139" i="1"/>
  <c r="L139" i="1"/>
  <c r="M139" i="1"/>
  <c r="D142" i="1"/>
  <c r="E142" i="1"/>
  <c r="F142" i="1"/>
  <c r="G142" i="1"/>
  <c r="H142" i="1"/>
  <c r="I142" i="1"/>
  <c r="J142" i="1"/>
  <c r="K142" i="1"/>
  <c r="L142" i="1"/>
  <c r="M142" i="1"/>
  <c r="D144" i="1"/>
  <c r="E144" i="1"/>
  <c r="F144" i="1"/>
  <c r="G144" i="1"/>
  <c r="H144" i="1"/>
  <c r="I144" i="1"/>
  <c r="J144" i="1"/>
  <c r="K144" i="1"/>
  <c r="L144" i="1"/>
  <c r="M144" i="1"/>
  <c r="C134" i="1"/>
  <c r="D134" i="1"/>
  <c r="E134" i="1"/>
  <c r="F134" i="1"/>
  <c r="G134" i="1"/>
  <c r="H134" i="1"/>
  <c r="I134" i="1"/>
  <c r="J134" i="1"/>
  <c r="K134" i="1"/>
  <c r="L134" i="1"/>
  <c r="M134" i="1"/>
  <c r="D131" i="1"/>
  <c r="E131" i="1"/>
  <c r="F131" i="1"/>
  <c r="G131" i="1"/>
  <c r="H131" i="1"/>
  <c r="I131" i="1"/>
  <c r="J131" i="1"/>
  <c r="K131" i="1"/>
  <c r="L131" i="1"/>
  <c r="M131" i="1"/>
  <c r="D125" i="1"/>
  <c r="E125" i="1"/>
  <c r="F125" i="1"/>
  <c r="G125" i="1"/>
  <c r="H125" i="1"/>
  <c r="I125" i="1"/>
  <c r="J125" i="1"/>
  <c r="K125" i="1"/>
  <c r="L125" i="1"/>
  <c r="M125" i="1"/>
  <c r="D120" i="1"/>
  <c r="E120" i="1"/>
  <c r="F120" i="1"/>
  <c r="G120" i="1"/>
  <c r="H120" i="1"/>
  <c r="I120" i="1"/>
  <c r="J120" i="1"/>
  <c r="K120" i="1"/>
  <c r="L120" i="1"/>
  <c r="M120" i="1"/>
  <c r="F111" i="1"/>
  <c r="G111" i="1"/>
  <c r="H111" i="1"/>
  <c r="I111" i="1"/>
  <c r="J111" i="1"/>
  <c r="K111" i="1"/>
  <c r="L111" i="1"/>
  <c r="M111" i="1"/>
  <c r="D109" i="1"/>
  <c r="E109" i="1"/>
  <c r="F109" i="1"/>
  <c r="G109" i="1"/>
  <c r="H109" i="1"/>
  <c r="I109" i="1"/>
  <c r="J109" i="1"/>
  <c r="K109" i="1"/>
  <c r="L109" i="1"/>
  <c r="M109" i="1"/>
  <c r="D100" i="1"/>
  <c r="E100" i="1"/>
  <c r="F100" i="1"/>
  <c r="G100" i="1"/>
  <c r="H100" i="1"/>
  <c r="I100" i="1"/>
  <c r="J100" i="1"/>
  <c r="K100" i="1"/>
  <c r="L100" i="1"/>
  <c r="M100" i="1"/>
  <c r="G146" i="1" l="1"/>
  <c r="K146" i="1"/>
  <c r="N111" i="1"/>
  <c r="N139" i="1"/>
  <c r="J146" i="1"/>
  <c r="F146" i="1"/>
  <c r="N109" i="1"/>
  <c r="N125" i="1"/>
  <c r="N134" i="1"/>
  <c r="O134" i="1" s="1"/>
  <c r="I146" i="1"/>
  <c r="E146" i="1"/>
  <c r="N120" i="1"/>
  <c r="N142" i="1"/>
  <c r="N114" i="1"/>
  <c r="L146" i="1"/>
  <c r="H146" i="1"/>
  <c r="D146" i="1"/>
  <c r="N100" i="1"/>
  <c r="N131" i="1"/>
  <c r="N144" i="1"/>
  <c r="M146" i="1"/>
  <c r="D91" i="1"/>
  <c r="E91" i="1"/>
  <c r="F91" i="1"/>
  <c r="G91" i="1"/>
  <c r="H91" i="1"/>
  <c r="I91" i="1"/>
  <c r="K91" i="1"/>
  <c r="L91" i="1"/>
  <c r="D95" i="1"/>
  <c r="E95" i="1"/>
  <c r="F95" i="1"/>
  <c r="G95" i="1"/>
  <c r="H95" i="1"/>
  <c r="I95" i="1"/>
  <c r="K95" i="1"/>
  <c r="L95" i="1"/>
  <c r="M95" i="1"/>
  <c r="D71" i="1"/>
  <c r="E71" i="1"/>
  <c r="F71" i="1"/>
  <c r="G71" i="1"/>
  <c r="H71" i="1"/>
  <c r="I71" i="1"/>
  <c r="K71" i="1"/>
  <c r="L71" i="1"/>
  <c r="M71" i="1"/>
  <c r="N146" i="1" l="1"/>
  <c r="D70" i="1"/>
  <c r="E70" i="1"/>
  <c r="F70" i="1"/>
  <c r="G70" i="1"/>
  <c r="H70" i="1"/>
  <c r="I70" i="1"/>
  <c r="K70" i="1"/>
  <c r="L70" i="1"/>
  <c r="M70" i="1"/>
  <c r="D49" i="1"/>
  <c r="E49" i="1"/>
  <c r="F49" i="1"/>
  <c r="G49" i="1"/>
  <c r="H49" i="1"/>
  <c r="I49" i="1"/>
  <c r="K49" i="1"/>
  <c r="L49" i="1"/>
  <c r="M49" i="1"/>
  <c r="D45" i="1"/>
  <c r="E45" i="1"/>
  <c r="F45" i="1"/>
  <c r="G45" i="1"/>
  <c r="H45" i="1"/>
  <c r="I45" i="1"/>
  <c r="K45" i="1"/>
  <c r="L45" i="1"/>
  <c r="M45" i="1"/>
  <c r="K22" i="1"/>
  <c r="L22" i="1"/>
  <c r="M22" i="1"/>
  <c r="J97" i="1"/>
  <c r="N97" i="1" s="1"/>
  <c r="O97" i="1" s="1"/>
  <c r="J96" i="1"/>
  <c r="J93" i="1"/>
  <c r="N93" i="1" s="1"/>
  <c r="O93" i="1" s="1"/>
  <c r="J94" i="1"/>
  <c r="N94" i="1" s="1"/>
  <c r="O94" i="1" s="1"/>
  <c r="J92" i="1"/>
  <c r="J77" i="1"/>
  <c r="N77" i="1" s="1"/>
  <c r="O77" i="1" s="1"/>
  <c r="J78" i="1"/>
  <c r="N78" i="1" s="1"/>
  <c r="O78" i="1" s="1"/>
  <c r="J79" i="1"/>
  <c r="N79" i="1" s="1"/>
  <c r="O79" i="1" s="1"/>
  <c r="J80" i="1"/>
  <c r="N80" i="1" s="1"/>
  <c r="O80" i="1" s="1"/>
  <c r="J81" i="1"/>
  <c r="N81" i="1" s="1"/>
  <c r="O81" i="1" s="1"/>
  <c r="J82" i="1"/>
  <c r="N82" i="1" s="1"/>
  <c r="O82" i="1" s="1"/>
  <c r="J83" i="1"/>
  <c r="N83" i="1" s="1"/>
  <c r="O83" i="1" s="1"/>
  <c r="J84" i="1"/>
  <c r="N84" i="1" s="1"/>
  <c r="O84" i="1" s="1"/>
  <c r="J85" i="1"/>
  <c r="N85" i="1" s="1"/>
  <c r="O85" i="1" s="1"/>
  <c r="J86" i="1"/>
  <c r="N86" i="1" s="1"/>
  <c r="O86" i="1" s="1"/>
  <c r="J87" i="1"/>
  <c r="N87" i="1" s="1"/>
  <c r="O87" i="1" s="1"/>
  <c r="J88" i="1"/>
  <c r="N88" i="1" s="1"/>
  <c r="O88" i="1" s="1"/>
  <c r="J89" i="1"/>
  <c r="N89" i="1" s="1"/>
  <c r="O89" i="1" s="1"/>
  <c r="J90" i="1"/>
  <c r="N90" i="1" s="1"/>
  <c r="O90" i="1" s="1"/>
  <c r="J73" i="1"/>
  <c r="N73" i="1" s="1"/>
  <c r="O73" i="1" s="1"/>
  <c r="J74" i="1"/>
  <c r="N74" i="1" s="1"/>
  <c r="O74" i="1" s="1"/>
  <c r="J75" i="1"/>
  <c r="N75" i="1" s="1"/>
  <c r="O75" i="1" s="1"/>
  <c r="J76" i="1"/>
  <c r="N76" i="1" s="1"/>
  <c r="O76" i="1" s="1"/>
  <c r="J72" i="1"/>
  <c r="J68" i="1"/>
  <c r="N68" i="1" s="1"/>
  <c r="O68" i="1" s="1"/>
  <c r="J69" i="1"/>
  <c r="N69" i="1" s="1"/>
  <c r="O69" i="1" s="1"/>
  <c r="J51" i="1"/>
  <c r="N51" i="1" s="1"/>
  <c r="O51" i="1" s="1"/>
  <c r="J52" i="1"/>
  <c r="N52" i="1" s="1"/>
  <c r="O52" i="1" s="1"/>
  <c r="J53" i="1"/>
  <c r="N53" i="1" s="1"/>
  <c r="O53" i="1" s="1"/>
  <c r="J54" i="1"/>
  <c r="N54" i="1" s="1"/>
  <c r="J55" i="1"/>
  <c r="N55" i="1" s="1"/>
  <c r="O55" i="1" s="1"/>
  <c r="J56" i="1"/>
  <c r="N56" i="1" s="1"/>
  <c r="O56" i="1" s="1"/>
  <c r="J57" i="1"/>
  <c r="N57" i="1" s="1"/>
  <c r="O57" i="1" s="1"/>
  <c r="J58" i="1"/>
  <c r="N58" i="1" s="1"/>
  <c r="O58" i="1" s="1"/>
  <c r="J59" i="1"/>
  <c r="N59" i="1" s="1"/>
  <c r="O59" i="1" s="1"/>
  <c r="J60" i="1"/>
  <c r="N60" i="1" s="1"/>
  <c r="O60" i="1" s="1"/>
  <c r="J61" i="1"/>
  <c r="N61" i="1" s="1"/>
  <c r="O61" i="1" s="1"/>
  <c r="J62" i="1"/>
  <c r="N62" i="1" s="1"/>
  <c r="O62" i="1" s="1"/>
  <c r="J63" i="1"/>
  <c r="N63" i="1" s="1"/>
  <c r="O63" i="1" s="1"/>
  <c r="J64" i="1"/>
  <c r="N64" i="1" s="1"/>
  <c r="O64" i="1" s="1"/>
  <c r="J65" i="1"/>
  <c r="N65" i="1" s="1"/>
  <c r="O65" i="1" s="1"/>
  <c r="J66" i="1"/>
  <c r="N66" i="1" s="1"/>
  <c r="O66" i="1" s="1"/>
  <c r="J67" i="1"/>
  <c r="N67" i="1" s="1"/>
  <c r="O67" i="1" s="1"/>
  <c r="J50" i="1"/>
  <c r="N50" i="1" s="1"/>
  <c r="O50" i="1" s="1"/>
  <c r="J47" i="1"/>
  <c r="N47" i="1" s="1"/>
  <c r="O47" i="1" s="1"/>
  <c r="J48" i="1"/>
  <c r="N48" i="1" s="1"/>
  <c r="O48" i="1" s="1"/>
  <c r="J46" i="1"/>
  <c r="N46" i="1" s="1"/>
  <c r="O46" i="1" s="1"/>
  <c r="J33" i="1"/>
  <c r="N33" i="1" s="1"/>
  <c r="O33" i="1" s="1"/>
  <c r="J34" i="1"/>
  <c r="N34" i="1" s="1"/>
  <c r="O34" i="1" s="1"/>
  <c r="J35" i="1"/>
  <c r="N35" i="1" s="1"/>
  <c r="O35" i="1" s="1"/>
  <c r="J36" i="1"/>
  <c r="N36" i="1" s="1"/>
  <c r="O36" i="1" s="1"/>
  <c r="J37" i="1"/>
  <c r="N37" i="1" s="1"/>
  <c r="O37" i="1" s="1"/>
  <c r="J38" i="1"/>
  <c r="N38" i="1" s="1"/>
  <c r="O38" i="1" s="1"/>
  <c r="J39" i="1"/>
  <c r="N39" i="1" s="1"/>
  <c r="O39" i="1" s="1"/>
  <c r="J40" i="1"/>
  <c r="N40" i="1" s="1"/>
  <c r="O40" i="1" s="1"/>
  <c r="J41" i="1"/>
  <c r="N41" i="1" s="1"/>
  <c r="O41" i="1" s="1"/>
  <c r="J42" i="1"/>
  <c r="N42" i="1" s="1"/>
  <c r="O42" i="1" s="1"/>
  <c r="J32" i="1"/>
  <c r="J24" i="1"/>
  <c r="N24" i="1" s="1"/>
  <c r="O24" i="1" s="1"/>
  <c r="J25" i="1"/>
  <c r="N25" i="1" s="1"/>
  <c r="J26" i="1"/>
  <c r="N26" i="1" s="1"/>
  <c r="O26" i="1" s="1"/>
  <c r="J27" i="1"/>
  <c r="N27" i="1" s="1"/>
  <c r="O27" i="1" s="1"/>
  <c r="J28" i="1"/>
  <c r="N28" i="1" s="1"/>
  <c r="O28" i="1" s="1"/>
  <c r="J29" i="1"/>
  <c r="N29" i="1" s="1"/>
  <c r="O29" i="1" s="1"/>
  <c r="J30" i="1"/>
  <c r="N30" i="1" s="1"/>
  <c r="O30" i="1" s="1"/>
  <c r="J23" i="1"/>
  <c r="C91" i="1"/>
  <c r="C71" i="1"/>
  <c r="L44" i="1" l="1"/>
  <c r="L98" i="1" s="1"/>
  <c r="L147" i="1" s="1"/>
  <c r="E44" i="1"/>
  <c r="H44" i="1"/>
  <c r="D44" i="1"/>
  <c r="I44" i="1"/>
  <c r="N92" i="1"/>
  <c r="O92" i="1" s="1"/>
  <c r="J91" i="1"/>
  <c r="N91" i="1" s="1"/>
  <c r="O91" i="1" s="1"/>
  <c r="N72" i="1"/>
  <c r="O72" i="1" s="1"/>
  <c r="J71" i="1"/>
  <c r="J49" i="1"/>
  <c r="J31" i="1"/>
  <c r="N23" i="1"/>
  <c r="O23" i="1" s="1"/>
  <c r="K44" i="1"/>
  <c r="K98" i="1" s="1"/>
  <c r="K147" i="1" s="1"/>
  <c r="G44" i="1"/>
  <c r="N32" i="1"/>
  <c r="O32" i="1" s="1"/>
  <c r="J43" i="1"/>
  <c r="N43" i="1" s="1"/>
  <c r="O43" i="1" s="1"/>
  <c r="O54" i="1"/>
  <c r="N96" i="1"/>
  <c r="O96" i="1" s="1"/>
  <c r="J95" i="1"/>
  <c r="N95" i="1" s="1"/>
  <c r="J45" i="1"/>
  <c r="N45" i="1" s="1"/>
  <c r="F44" i="1"/>
  <c r="N49" i="1"/>
  <c r="M44" i="1"/>
  <c r="I22" i="1"/>
  <c r="H22" i="1"/>
  <c r="G22" i="1"/>
  <c r="F22" i="1"/>
  <c r="F98" i="1" s="1"/>
  <c r="F147" i="1" s="1"/>
  <c r="E22" i="1"/>
  <c r="D22" i="1"/>
  <c r="C45" i="1"/>
  <c r="C142" i="1"/>
  <c r="O142" i="1" s="1"/>
  <c r="C139" i="1"/>
  <c r="O139" i="1" s="1"/>
  <c r="C131" i="1"/>
  <c r="O131" i="1" s="1"/>
  <c r="C125" i="1"/>
  <c r="C144" i="1"/>
  <c r="O144" i="1" s="1"/>
  <c r="C95" i="1"/>
  <c r="C49" i="1"/>
  <c r="C31" i="1"/>
  <c r="C22" i="1" s="1"/>
  <c r="C120" i="1"/>
  <c r="O120" i="1" s="1"/>
  <c r="C109" i="1"/>
  <c r="E98" i="1" l="1"/>
  <c r="E147" i="1" s="1"/>
  <c r="I98" i="1"/>
  <c r="I147" i="1" s="1"/>
  <c r="G98" i="1"/>
  <c r="G147" i="1" s="1"/>
  <c r="N71" i="1"/>
  <c r="O71" i="1" s="1"/>
  <c r="J70" i="1"/>
  <c r="N70" i="1" s="1"/>
  <c r="O49" i="1"/>
  <c r="O45" i="1"/>
  <c r="C70" i="1"/>
  <c r="C44" i="1" s="1"/>
  <c r="C98" i="1" s="1"/>
  <c r="O95" i="1"/>
  <c r="N31" i="1"/>
  <c r="O31" i="1" s="1"/>
  <c r="J22" i="1"/>
  <c r="O25" i="1"/>
  <c r="M98" i="1"/>
  <c r="M147" i="1" s="1"/>
  <c r="D98" i="1"/>
  <c r="D147" i="1" s="1"/>
  <c r="H98" i="1"/>
  <c r="H147" i="1" s="1"/>
  <c r="O70" i="1" l="1"/>
  <c r="N22" i="1"/>
  <c r="J44" i="1"/>
  <c r="N44" i="1" s="1"/>
  <c r="O44" i="1" s="1"/>
  <c r="C100" i="1"/>
  <c r="C146" i="1" s="1"/>
  <c r="O22" i="1" l="1"/>
  <c r="N98" i="1"/>
  <c r="N147" i="1" s="1"/>
  <c r="J98" i="1"/>
  <c r="J147" i="1" s="1"/>
  <c r="O135" i="1"/>
  <c r="O136" i="1"/>
  <c r="O137" i="1"/>
  <c r="O138" i="1"/>
  <c r="O121" i="1"/>
  <c r="O122" i="1"/>
  <c r="O123" i="1"/>
  <c r="O124" i="1"/>
  <c r="O110" i="1"/>
  <c r="C147" i="1" l="1"/>
  <c r="O114" i="1" l="1"/>
  <c r="O98" i="1" l="1"/>
  <c r="O109" i="1" l="1"/>
  <c r="O100" i="1" l="1"/>
  <c r="O125" i="1"/>
  <c r="O146" i="1" l="1"/>
  <c r="O147" i="1" s="1"/>
</calcChain>
</file>

<file path=xl/sharedStrings.xml><?xml version="1.0" encoding="utf-8"?>
<sst xmlns="http://schemas.openxmlformats.org/spreadsheetml/2006/main" count="278" uniqueCount="249">
  <si>
    <t>Наименование показателя</t>
  </si>
  <si>
    <t>Первоначальные бюджетные назначения</t>
  </si>
  <si>
    <t>ДОХОДЫ</t>
  </si>
  <si>
    <t xml:space="preserve">1 00 00000 00 </t>
  </si>
  <si>
    <t>НАЛОГОВЫЕ И НЕНАЛОГОВЫЕ ДОХОДЫ</t>
  </si>
  <si>
    <t xml:space="preserve">2 00 00000 00 </t>
  </si>
  <si>
    <t>БЕЗВОЗМЕЗДНЫЕ ПОСТУПЛЕНИЯ</t>
  </si>
  <si>
    <t>ВСЕГО ДОХОДОВ</t>
  </si>
  <si>
    <t>РАСХОДЫ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</si>
  <si>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</si>
  <si>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</si>
  <si>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</si>
  <si>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</si>
  <si>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</si>
  <si>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</si>
  <si>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</si>
  <si>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</si>
  <si>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</si>
  <si>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</si>
  <si>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</si>
  <si>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</si>
  <si>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</si>
  <si>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</si>
  <si>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</si>
  <si>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</si>
  <si>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</si>
  <si>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</si>
  <si>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</si>
  <si>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</si>
  <si>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</si>
  <si>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</si>
  <si>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</si>
  <si>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</si>
  <si>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</si>
  <si>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</si>
  <si>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</si>
  <si>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</si>
  <si>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 И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</si>
  <si>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</si>
  <si>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</si>
  <si>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</si>
  <si>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</si>
  <si>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</si>
  <si>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</si>
  <si>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</si>
  <si>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</si>
  <si>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ВСЕГО РАСХОДОВ</t>
  </si>
  <si>
    <t>ДЕФИЦИТ, ПРОФИЦИТ</t>
  </si>
  <si>
    <t>0100</t>
  </si>
  <si>
    <t>0102</t>
  </si>
  <si>
    <t>0103</t>
  </si>
  <si>
    <t>0104</t>
  </si>
  <si>
    <t>0105</t>
  </si>
  <si>
    <t>0106</t>
  </si>
  <si>
    <t>0111</t>
  </si>
  <si>
    <t>0113</t>
  </si>
  <si>
    <t>0300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</si>
  <si>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</si>
  <si>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</si>
  <si>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</si>
  <si>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</si>
  <si>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</si>
  <si>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</si>
  <si>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</si>
  <si>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</si>
  <si>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</si>
  <si>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</si>
  <si>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</si>
  <si>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</si>
  <si>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</si>
  <si>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</si>
  <si>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</si>
  <si>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</si>
  <si>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</si>
  <si>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</si>
  <si>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</si>
  <si>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 xml:space="preserve">2 02 30000 00 </t>
  </si>
  <si>
    <t xml:space="preserve">СУБВЕНЦИИ БЮДЖЕТАМ БЮДЖЕТНОЙ СИСТЕМЫ РОССИЙСКОЙ ФЕДЕРАЦИИ </t>
  </si>
  <si>
    <t>2 02 20000 00</t>
  </si>
  <si>
    <t>СУБСИДИИ БЮДЖЕТАМ БЮДЖЕТНОЙ СИСТЕМЫ РОССИЙСКОЙ ФЕДЕРАЦИИ (МЕЖБЮДЖЕТНЫЕ СУБСИДИИ)</t>
  </si>
  <si>
    <t>2 02 29999 14</t>
  </si>
  <si>
    <t>2 02 35118 14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</si>
  <si>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</si>
  <si>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0200</t>
  </si>
  <si>
    <t>НАЦИОНАЛЬНАЯ ОБОРОНА</t>
  </si>
  <si>
    <t>0203</t>
  </si>
  <si>
    <t>Мобилизационная и вневойсковая подготовка</t>
  </si>
  <si>
    <t>0310</t>
  </si>
  <si>
    <t>2 02 10000 00</t>
  </si>
  <si>
    <t>ДОТАЦИИ БЮДЖЕТАМ БЮДЖЕТНОЙ СИСТЕМЫ РОССИЙСКОЙФЕДЕРАЦИИ</t>
  </si>
  <si>
    <t>Единый сельскохозяйственный налог</t>
  </si>
  <si>
    <t>2 02 15002 14</t>
  </si>
  <si>
    <t>2 02 40000 00</t>
  </si>
  <si>
    <t>КБК</t>
  </si>
  <si>
    <t xml:space="preserve">2 02 30024 14 </t>
  </si>
  <si>
    <t xml:space="preserve">Прочие безвозмездные поступления </t>
  </si>
  <si>
    <t>2 02 35930 14</t>
  </si>
  <si>
    <t>2 02 35304 14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</si>
  <si>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</si>
  <si>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1 03 02000 01</t>
  </si>
  <si>
    <t>1 05 04000 02</t>
  </si>
  <si>
    <t>1 12 01000 01</t>
  </si>
  <si>
    <t>Плата за негативное воздействие на окружающую среду</t>
  </si>
  <si>
    <t>1 01 02000 01</t>
  </si>
  <si>
    <t>Налог на доходы физических лиц</t>
  </si>
  <si>
    <t>1 16 00000 00</t>
  </si>
  <si>
    <t>1 06 06000 00</t>
  </si>
  <si>
    <t>Земельный налог</t>
  </si>
  <si>
    <t>Уточнение 1</t>
  </si>
  <si>
    <t>Уточнение 2</t>
  </si>
  <si>
    <t>Уточнение 3</t>
  </si>
  <si>
    <t>Уточнение 4</t>
  </si>
  <si>
    <t>Уточнение 5</t>
  </si>
  <si>
    <t>Уточнение 6</t>
  </si>
  <si>
    <t>Всего уточнений:</t>
  </si>
  <si>
    <t>Акцизы</t>
  </si>
  <si>
    <t>Упрощенная система налогообложения</t>
  </si>
  <si>
    <t>Патент</t>
  </si>
  <si>
    <t>Итого налоговых доходов</t>
  </si>
  <si>
    <t>Арендная плата за земельные участки</t>
  </si>
  <si>
    <t>Аренда муниципального имущества</t>
  </si>
  <si>
    <t>Прочие поступления от использования имущества</t>
  </si>
  <si>
    <t>Доходы от оказания платных услуг</t>
  </si>
  <si>
    <t>Доходы от реализации имущества</t>
  </si>
  <si>
    <t>Прочие неналоговые доходы</t>
  </si>
  <si>
    <t>1 05 01010 01</t>
  </si>
  <si>
    <t>1 05 03000 01</t>
  </si>
  <si>
    <t>1 08 00000 00</t>
  </si>
  <si>
    <t>1 11 05074 04</t>
  </si>
  <si>
    <t>1 11 09044 14</t>
  </si>
  <si>
    <t>1 13 01994 04</t>
  </si>
  <si>
    <t>1 14 06012 14</t>
  </si>
  <si>
    <t>Итого неналоговых доходов</t>
  </si>
  <si>
    <t>1 17 00000 00</t>
  </si>
  <si>
    <t>2 02 30024 14</t>
  </si>
  <si>
    <t>СУБВЕНЦИИ БЮДЖЕТАМ МУНИЦИПАЛЬНЫХ ОКРУГОВ НА ВЫПОЛНЕНИЕ ПЕРЕДАВАЕМЫХ ПОЛНОМОЧИЙ СУБЪЕКТОВ РОССИЙСКОЙ ФЕДЕРАЦИИ</t>
  </si>
  <si>
    <t>2 07 00000 00</t>
  </si>
  <si>
    <t>Иные межбюджетные трансферты</t>
  </si>
  <si>
    <t>0107</t>
  </si>
  <si>
    <t>Обеспечение прведения выборов и референдумов</t>
  </si>
  <si>
    <t>2 02 35120 14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</si>
  <si>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</si>
  <si>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Поступления от денежных пожерствований, предоставляемых физическими лицами получателям средств бюджетов муниципальных округов</t>
  </si>
  <si>
    <t>2 02 45179 14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</si>
  <si>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</si>
  <si>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2 02 30029 14 </t>
  </si>
  <si>
    <t>Субвенции бюджетам муниципальных образований Приморского края на реализацию государственных полномочий органов опеки и попечительства в отношении несовершеннолетних</t>
  </si>
  <si>
    <t>2 02 39999 14</t>
  </si>
  <si>
    <t xml:space="preserve">2 07 04020 14 </t>
  </si>
  <si>
    <t>Уточнение 7</t>
  </si>
  <si>
    <t>Уточнение 8</t>
  </si>
  <si>
    <t>(рублей)</t>
  </si>
  <si>
    <t>В феврале 2024 года Думой Ольгинского муниципального округа рассмотрена и принята 1  корректировка решения о  бюджете округа</t>
  </si>
  <si>
    <t>Решение Думы Ольгинского муниципального округа от 19 декабря 2023 года № 122-НПА</t>
  </si>
  <si>
    <t>0314</t>
  </si>
  <si>
    <t>1300</t>
  </si>
  <si>
    <t>1105</t>
  </si>
  <si>
    <t>1103</t>
  </si>
  <si>
    <t>Другие вопросы в области национальной безопасности и правоохранительной деятельности</t>
  </si>
  <si>
    <t>Другие вопросы в области физической культуры и спорта</t>
  </si>
  <si>
    <t>Спорт высших достижений</t>
  </si>
  <si>
    <t>ОБСЛУЖИВАНИЕ ГОСУДАРСТВЕННОГО И МУНИЦИПАЛЬНОГО ДОЛГА</t>
  </si>
  <si>
    <t>2 07 04050 14</t>
  </si>
  <si>
    <t>2 02 45303 14</t>
  </si>
  <si>
    <t>Межбюджетные трансферты,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</si>
  <si>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1 06 01020 14</t>
  </si>
  <si>
    <t>1 11 05012 14</t>
  </si>
  <si>
    <t>1 13 02994 04</t>
  </si>
  <si>
    <t>1 14 02040 14</t>
  </si>
  <si>
    <t>1 15 02040 14</t>
  </si>
  <si>
    <t>2 02 19999 14</t>
  </si>
  <si>
    <t>2 02 25081 14</t>
  </si>
  <si>
    <t>2 02 25750 14</t>
  </si>
  <si>
    <t>Государственная пошлина</t>
  </si>
  <si>
    <t>Налог на имущество физических лиц</t>
  </si>
  <si>
    <t>Доходы от компенсации затрат</t>
  </si>
  <si>
    <t>Доходы от продажи земельных участков</t>
  </si>
  <si>
    <t>Административные платежи и сборы</t>
  </si>
  <si>
    <t>Штрафы, санкции, возмещение ущерба</t>
  </si>
  <si>
    <t>Прочие дотации бюджетам муниципальных округов (поощрения мун.округов в связи с их образованием)</t>
  </si>
  <si>
    <t>Субсидии бюджетам муниципальных округов на государственную поддержку организаций, входящих в систему спортивной подготовки</t>
  </si>
  <si>
    <t xml:space="preserve">Субсидии бюджетам муниципальных округов на реализацию мероприятий по модернизации школьных систем образования </t>
  </si>
  <si>
    <t>Прочие субсидии бюджетам муниципальных округов  (мероприятия по инвентаризации кладбищ, стен скорби, крематориев, а также мест захаронений на кладбищах и в стенах скорби, расположенных на территории ПК)</t>
  </si>
  <si>
    <t>Прочие субсидии бюджетам муниципальных округов (организация транспортного обслуживания населения в границах муниципальных образований ПК)</t>
  </si>
  <si>
    <t>Прочие субсидии бюджетам муниципальных  округов (субсидии на комплектование книжных фондов и обеспечение информационно-техническим оборудованием библиотек)</t>
  </si>
  <si>
    <t>Субвенции бюджетам муниципальных округов на предоставление жилых помещений детям-сиротам и детям, оставшихся без попечения родителей, лицам из их числа по договорам найма специализированных жилых помещений  за счет средств краевого бюджета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</si>
  <si>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</si>
  <si>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Субвенции бюджетам 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</si>
  <si>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Субвенции бюджетам муниципальных образований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</si>
  <si>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бюджетам муниципальных образований Приморского края на получение общедоступного и бесплатного дошкольного образования в муниципальных дошкольных  образовательных организациях Приморского края</t>
  </si>
  <si>
    <t xml:space="preserve">Субвенции бюджетам муниципальных образований Приморского края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 </t>
  </si>
  <si>
    <t>Субвенции бюджетам  муниципальных образований Приморского края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</si>
  <si>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Субвенции бюджетам муниципальных образований Приморского края на организацию и обеспечение оздоровления и отдыха детей ( за исключением организации отдыха детей в каникулярное время)</t>
  </si>
  <si>
    <t>Субвенции бюджетам муниципальных образований Приморского края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</si>
  <si>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 </t>
  </si>
  <si>
    <t>Субвенции бюджетам муниципальных округов на выполнение передаваемых полномочий субъектов Российской Федерации ( реализация государственного полномочия в сфере транспортного обслуживания по муниципальным маршрутам в границах мун.образований)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</si>
  <si>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</si>
  <si>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Субвенции бюджетам муниципальных  округов на государственную регистрацию актов гражданского состояния </t>
  </si>
  <si>
    <t>Прочие субвенции бюджетам муниципальных округов (ЗАГС за счет средств КБ)</t>
  </si>
  <si>
    <t>2 02 3690014</t>
  </si>
  <si>
    <t>Единая субвенция бюджетам муниципальных округов из бюджета субъекта Российской Федерации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</si>
  <si>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</si>
  <si>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Дотации бюджетам муниципальных округов на поддержку мер по обеспечению сбалансированности бюджетов</t>
  </si>
  <si>
    <t xml:space="preserve">2 02 15001 14 </t>
  </si>
  <si>
    <t>Прочие субсидии бюджетам муниципальных округов (субсидии на поддержку мун.программ по благоустройству территорий)</t>
  </si>
  <si>
    <t>Прочие субсидии бюджетам муниципальных округов (субсидии на твердое топливо)</t>
  </si>
  <si>
    <t>Прочие субсидии бюджетам муниципальных округов (субсид.на спорт инвент.,спорт.оборуд. и иного имущества для развития массового спорта)</t>
  </si>
  <si>
    <t>Прочие субсидии бюджетам муниципальных  округов (субсидии на организацию физкульт-спорт.работы по месту жительства)</t>
  </si>
  <si>
    <t xml:space="preserve">Единая субсидия на достижение показателей государственной программы Российской Федерации «Реализация государственной национальной политики Российской Федерации» </t>
  </si>
  <si>
    <t>Прочие безвозмездные поступления в бюджеты муниципальных округов</t>
  </si>
  <si>
    <t>0410</t>
  </si>
  <si>
    <t>1301</t>
  </si>
  <si>
    <t xml:space="preserve">Решение Думы Ольгинского муниципального округа от 27.02.2024 №132-НПА </t>
  </si>
  <si>
    <t>Сведения  о внесенных изменениях в первоначально принятое решение о бюджете за 2024 год</t>
  </si>
  <si>
    <t>Прочие субсидии бюджетам муниципальных округов ("Молодежный бюджет")</t>
  </si>
  <si>
    <t>Прочие субсидии бюджетам муниципальных округов ("Твой проект")</t>
  </si>
  <si>
    <t xml:space="preserve">Прочие субсидии бюджетам муниципальных округов (приобретение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характера)  </t>
  </si>
  <si>
    <t>Прочие субсидии бюджетам муниципальных  округов (на создание условий для развития услуг широкополосного доступа к информационно-телекоммуникационной сети Интернет)</t>
  </si>
  <si>
    <t>Прочие субсидии бюджетам муниципальных  округов (на софинансирование муниципальных программ по поддержке социально ориентированных некоммерческих организаций по итогам конкурсного отбора)</t>
  </si>
  <si>
    <t>Прочие субсидии бюджетам муниципальных округов (капитальный ремонт и ремонт автомобильных дорог общего пользования населенных пунктов за счет дорожного фонда ПК)</t>
  </si>
  <si>
    <t>Прочие субсидии бюджетам муниципальных округов  (проектирование и (или) строительство, реконструкция (модернизация), капитальный ремонт объектов водопроводно-канализационного хозяйства)</t>
  </si>
  <si>
    <t xml:space="preserve">Решение Думы Ольгинского муниципального округа от 26.03.2024 №146-НПА </t>
  </si>
  <si>
    <t xml:space="preserve">Решение Думы Ольгинского муниципального округа от 21.05.2024 №157-НПА </t>
  </si>
  <si>
    <t xml:space="preserve">Решение Думы Ольгинского муниципального округа от 27.06.2024 №164-НПА </t>
  </si>
  <si>
    <t xml:space="preserve">Решение Думы Ольгинского муниципального округа от 27.08.2024 №166-НПА </t>
  </si>
  <si>
    <t xml:space="preserve">Решение Думы Ольгинского муниципального округа от 15.10.2024 №179-НПА </t>
  </si>
  <si>
    <t>Уточнение 9</t>
  </si>
  <si>
    <t>Уточнение 10</t>
  </si>
  <si>
    <t xml:space="preserve">Решение Думы Ольгинского муниципального округа от  26.11.2024 № 185-НП "Решение об отмене Думы Ольгинского муниципального округа от 15.10.2024 №179-НПА" </t>
  </si>
  <si>
    <t xml:space="preserve">Решение Думы Ольгинского муниципального округа от 26.11.2024 №186-НПА </t>
  </si>
  <si>
    <t xml:space="preserve">Решение Думы Ольгинского муниципального округа от 25.12.2024 №197-НПА </t>
  </si>
  <si>
    <t>Обслуживание внутреннего государственного и муниципального долга</t>
  </si>
  <si>
    <t>Связь и информатика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</si>
  <si>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</t>
  </si>
  <si>
    <t>Прочие субсидии бюджетам муниципальных округов (Иные межбюджетные трансферты на выплату грантов бюджетам муниципальных образований Приморского края в целях поддержки проектов, инициируемых жителями муниципальных образований, по решению вопросов местного значения)</t>
  </si>
  <si>
    <t>Прочие субсидии бюджетам муниципальных округов (субсидии бюджетам муниципальных образований Приморского края на подготовку основания для создания "умных"спортивных площадок)</t>
  </si>
  <si>
    <t>Прочие субсидии бюджетам муниципальных  округов (субсидии на финансирование спорт.подготовки в мун.учрежд. спорт.подготовки в соотв.с треб.фед.стандартов спорт.подготовки)</t>
  </si>
  <si>
    <t>Приказ финансового отдела администраци Ольгинского муниципального округа №22 от 28.12.2024 "О внесении изменений в сводную бюджетную роспись бюджета на 2024 год"</t>
  </si>
  <si>
    <t xml:space="preserve">Решение Думы Ольгинского муниципального округа от 19 декабря 2023 года № 122-НПА  «О бюджете Ольгинского муниципального округа на 2024 год и плановый период 2025 и 2026 годов» </t>
  </si>
  <si>
    <t>В течение 2024 года произведено 10 корректировок бюджета</t>
  </si>
  <si>
    <t>В марте 2024 года Думой Ольгинского муниципального округа рассмотрена и принята 2  корректировка решения о  бюджете округа</t>
  </si>
  <si>
    <t>В мае 2024 года Думой Ольгинского муниципального округа рассмотрена и принята 3  корректировка решения о  бюджете округа</t>
  </si>
  <si>
    <t>В августе 2024 года Думой Ольгинского муниципального округа рассмотрена и принята 5  корректировка решения о  бюджете округа</t>
  </si>
  <si>
    <t>В июне 2024 года Думой Ольгинского муниципального округа рассмотрена и принята 4  корректировка решения о  бюджете округа</t>
  </si>
  <si>
    <t>В октябре 2024 года Думой Ольгинского муниципального округа рассмотрена и принята 6  корректировка решения о  бюджете округа</t>
  </si>
  <si>
    <t>В ноябре 2024 года Думой Ольгинского муниципального округа рассмотрена и принята 7  решения об отмены корректировке о  бюджете округа</t>
  </si>
  <si>
    <t>В ноябре 2024 года Думой Ольгинского муниципального округа рассмотрена и принята 8  корректировка решения о  бюджете округа</t>
  </si>
  <si>
    <t>В декабре 2024 года Думой Ольгинского муниципального округа рассмотрена и принята 9  корректировка решения о  бюджете округа</t>
  </si>
  <si>
    <t>В декабре 2024 года приказ финансового отдела администрации Ольгинского муниципального округа о внесении изменений в сводную бюджетную роспись бюджета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</si>
</sst>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.5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Cyr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9" fillId="3" borderId="5">
      <alignment horizontal="right" vertical="top" shrinkToFit="1"/>
    </xf>
    <xf numFmtId="0" fontId="18" fillId="0" borderId="5">
      <alignment horizontal="left" vertical="top" wrapText="1"/>
    </xf>
  </cellStyleXfs>
  <cellXfs count="10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9" fillId="3" borderId="1" xfId="1" applyNumberFormat="1" applyFont="1" applyBorder="1" applyAlignment="1" applyProtection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4" fontId="17" fillId="3" borderId="1" xfId="1" applyNumberFormat="1" applyFont="1" applyBorder="1" applyAlignment="1" applyProtection="1">
      <alignment horizontal="center" vertical="center" shrinkToFit="1"/>
    </xf>
    <xf numFmtId="0" fontId="22" fillId="0" borderId="0" xfId="0" applyFont="1"/>
    <xf numFmtId="0" fontId="1" fillId="0" borderId="0" xfId="0" applyFont="1" applyAlignment="1">
      <alignment horizontal="left" vertical="center"/>
    </xf>
    <xf numFmtId="4" fontId="17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1" applyNumberFormat="1" applyFont="1" applyFill="1" applyBorder="1" applyAlignment="1" applyProtection="1">
      <alignment horizontal="center" vertical="center" shrinkToFit="1"/>
    </xf>
    <xf numFmtId="4" fontId="22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8" fillId="0" borderId="1" xfId="0" applyFont="1" applyBorder="1" applyAlignment="1">
      <alignment vertical="top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 applyProtection="1">
      <alignment horizontal="center" vertical="center" shrinkToFit="1"/>
    </xf>
    <xf numFmtId="4" fontId="9" fillId="2" borderId="1" xfId="1" applyNumberFormat="1" applyFont="1" applyFill="1" applyBorder="1" applyAlignment="1" applyProtection="1">
      <alignment horizontal="center" vertical="center" shrinkToFit="1"/>
    </xf>
    <xf numFmtId="4" fontId="2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justify" vertical="center" wrapText="1"/>
    </xf>
    <xf numFmtId="4" fontId="16" fillId="6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justify"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4" fontId="15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horizontal="center" vertical="top"/>
    </xf>
    <xf numFmtId="4" fontId="16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16" fillId="7" borderId="1" xfId="1" applyNumberFormat="1" applyFont="1" applyFill="1" applyBorder="1" applyAlignment="1" applyProtection="1">
      <alignment horizontal="center" vertical="center" shrinkToFit="1"/>
    </xf>
    <xf numFmtId="49" fontId="11" fillId="7" borderId="1" xfId="0" applyNumberFormat="1" applyFont="1" applyFill="1" applyBorder="1" applyAlignment="1">
      <alignment horizontal="center" vertical="top"/>
    </xf>
    <xf numFmtId="49" fontId="1" fillId="0" borderId="0" xfId="0" applyNumberFormat="1" applyFont="1" applyAlignment="1"/>
    <xf numFmtId="0" fontId="10" fillId="6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1" fillId="0" borderId="0" xfId="0" applyFont="1" applyAlignment="1"/>
  </cellXfs>
  <cellStyles count="3">
    <cellStyle name="xl27" xfId="2"/>
    <cellStyle name="xl39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9"/>
  <sheetViews>
    <sheetView tabSelected="1" zoomScale="75" zoomScaleNormal="75" zoomScaleSheetLayoutView="90" workbookViewId="0">
      <selection activeCell="E16" sqref="E16"/>
    </sheetView>
  </sheetViews>
  <sheetFormatPr defaultRowHeight="15" x14ac:dyDescent="0.25"/>
  <cols>
    <col min="1" max="1" width="15.85546875" style="5" customWidth="1"/>
    <col min="2" max="2" width="62.140625" style="5" customWidth="1"/>
    <col min="3" max="4" width="19" style="20" customWidth="1"/>
    <col min="5" max="5" width="18" style="5" customWidth="1"/>
    <col min="6" max="8" width="18.5703125" style="5" customWidth="1"/>
    <col min="9" max="13" width="19.140625" style="5" customWidth="1"/>
    <col min="14" max="14" width="20" style="5" customWidth="1"/>
    <col min="15" max="15" width="32.85546875" style="55" customWidth="1"/>
    <col min="16" max="16384" width="9.140625" style="5"/>
  </cols>
  <sheetData>
    <row r="1" spans="1:32" ht="28.5" customHeight="1" x14ac:dyDescent="0.3">
      <c r="A1" s="101" t="s">
        <v>213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32" ht="25.5" customHeight="1" x14ac:dyDescent="0.3">
      <c r="A2" s="93" t="s">
        <v>238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2" ht="25.5" customHeight="1" x14ac:dyDescent="0.3">
      <c r="A3" s="23"/>
      <c r="B3" s="23"/>
      <c r="C3" s="23"/>
      <c r="D3" s="25"/>
      <c r="E3" s="23"/>
      <c r="F3" s="23"/>
      <c r="G3" s="23"/>
      <c r="H3" s="23"/>
      <c r="I3" s="23"/>
      <c r="J3" s="43"/>
      <c r="K3" s="43"/>
      <c r="L3" s="43"/>
      <c r="M3" s="43"/>
      <c r="N3" s="23"/>
      <c r="O3" s="54"/>
    </row>
    <row r="4" spans="1:32" ht="29.25" customHeight="1" x14ac:dyDescent="0.3">
      <c r="A4" s="102" t="s">
        <v>239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32" ht="18.75" x14ac:dyDescent="0.25">
      <c r="A5" s="103" t="s">
        <v>152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</row>
    <row r="6" spans="1:32" ht="18.75" x14ac:dyDescent="0.25">
      <c r="A6" s="103" t="s">
        <v>240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</row>
    <row r="7" spans="1:32" ht="18.75" x14ac:dyDescent="0.3">
      <c r="A7" s="88" t="s">
        <v>241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</row>
    <row r="8" spans="1:32" ht="18.75" x14ac:dyDescent="0.3">
      <c r="A8" s="88" t="s">
        <v>243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</row>
    <row r="9" spans="1:32" ht="18.75" x14ac:dyDescent="0.3">
      <c r="A9" s="88" t="s">
        <v>242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</row>
    <row r="10" spans="1:32" ht="18.75" x14ac:dyDescent="0.3">
      <c r="A10" s="88" t="s">
        <v>244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</row>
    <row r="11" spans="1:32" ht="18.75" x14ac:dyDescent="0.3">
      <c r="A11" s="88" t="s">
        <v>245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</row>
    <row r="12" spans="1:32" ht="18.75" x14ac:dyDescent="0.3">
      <c r="A12" s="88" t="s">
        <v>246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</row>
    <row r="13" spans="1:32" ht="18.75" x14ac:dyDescent="0.3">
      <c r="A13" s="88" t="s">
        <v>247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</row>
    <row r="14" spans="1:32" ht="18.75" x14ac:dyDescent="0.3">
      <c r="A14" s="88" t="s">
        <v>248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</row>
    <row r="15" spans="1:32" ht="18.75" x14ac:dyDescent="0.3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</row>
    <row r="16" spans="1:32" ht="18.75" x14ac:dyDescent="0.25">
      <c r="A16" s="7"/>
      <c r="B16" s="7"/>
      <c r="C16" s="18"/>
      <c r="D16" s="18"/>
      <c r="E16" s="7"/>
      <c r="F16" s="7"/>
      <c r="G16" s="21"/>
      <c r="H16" s="21"/>
      <c r="I16" s="7"/>
      <c r="J16" s="47"/>
      <c r="K16" s="47"/>
      <c r="L16" s="47"/>
      <c r="M16" s="47"/>
      <c r="O16" s="24" t="s">
        <v>151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15" ht="25.5" customHeight="1" x14ac:dyDescent="0.25">
      <c r="A17" s="96" t="s">
        <v>93</v>
      </c>
      <c r="B17" s="94" t="s">
        <v>0</v>
      </c>
      <c r="C17" s="95" t="s">
        <v>1</v>
      </c>
      <c r="D17" s="42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90"/>
    </row>
    <row r="18" spans="1:15" ht="28.5" customHeight="1" x14ac:dyDescent="0.25">
      <c r="A18" s="97"/>
      <c r="B18" s="94"/>
      <c r="C18" s="95"/>
      <c r="D18" s="10" t="s">
        <v>108</v>
      </c>
      <c r="E18" s="46" t="s">
        <v>109</v>
      </c>
      <c r="F18" s="46" t="s">
        <v>110</v>
      </c>
      <c r="G18" s="46" t="s">
        <v>111</v>
      </c>
      <c r="H18" s="46" t="s">
        <v>112</v>
      </c>
      <c r="I18" s="46" t="s">
        <v>113</v>
      </c>
      <c r="J18" s="46" t="s">
        <v>149</v>
      </c>
      <c r="K18" s="46" t="s">
        <v>150</v>
      </c>
      <c r="L18" s="46" t="s">
        <v>226</v>
      </c>
      <c r="M18" s="46" t="s">
        <v>227</v>
      </c>
      <c r="N18" s="100" t="s">
        <v>114</v>
      </c>
      <c r="O18" s="91"/>
    </row>
    <row r="19" spans="1:15" ht="225.75" customHeight="1" x14ac:dyDescent="0.25">
      <c r="A19" s="9"/>
      <c r="B19" s="8"/>
      <c r="C19" s="16" t="s">
        <v>153</v>
      </c>
      <c r="D19" s="27" t="s">
        <v>212</v>
      </c>
      <c r="E19" s="45" t="s">
        <v>221</v>
      </c>
      <c r="F19" s="45" t="s">
        <v>222</v>
      </c>
      <c r="G19" s="45" t="s">
        <v>223</v>
      </c>
      <c r="H19" s="45" t="s">
        <v>224</v>
      </c>
      <c r="I19" s="45" t="s">
        <v>225</v>
      </c>
      <c r="J19" s="49" t="s">
        <v>228</v>
      </c>
      <c r="K19" s="45" t="s">
        <v>229</v>
      </c>
      <c r="L19" s="48" t="s">
        <v>230</v>
      </c>
      <c r="M19" s="49" t="s">
        <v>237</v>
      </c>
      <c r="N19" s="97"/>
      <c r="O19" s="92"/>
    </row>
    <row r="20" spans="1:15" s="11" customFormat="1" ht="15.75" x14ac:dyDescent="0.25">
      <c r="A20" s="8">
        <v>1</v>
      </c>
      <c r="B20" s="8">
        <v>2</v>
      </c>
      <c r="C20" s="16">
        <v>3</v>
      </c>
      <c r="D20" s="63">
        <v>4</v>
      </c>
      <c r="E20" s="63">
        <v>5</v>
      </c>
      <c r="F20" s="63">
        <v>6</v>
      </c>
      <c r="G20" s="63">
        <v>7</v>
      </c>
      <c r="H20" s="63">
        <v>8</v>
      </c>
      <c r="I20" s="63">
        <v>9</v>
      </c>
      <c r="J20" s="63">
        <v>10</v>
      </c>
      <c r="K20" s="63">
        <v>11</v>
      </c>
      <c r="L20" s="63">
        <v>12</v>
      </c>
      <c r="M20" s="63">
        <v>13</v>
      </c>
      <c r="N20" s="63">
        <v>14</v>
      </c>
      <c r="O20" s="63">
        <v>15</v>
      </c>
    </row>
    <row r="21" spans="1:15" ht="18.75" x14ac:dyDescent="0.25">
      <c r="A21" s="89" t="s">
        <v>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</row>
    <row r="22" spans="1:15" ht="15.75" x14ac:dyDescent="0.25">
      <c r="A22" s="70" t="s">
        <v>3</v>
      </c>
      <c r="B22" s="71" t="s">
        <v>4</v>
      </c>
      <c r="C22" s="72">
        <f>SUM(C31,C43)</f>
        <v>203248120.28</v>
      </c>
      <c r="D22" s="72">
        <f t="shared" ref="D22:M22" si="0">SUM(D31,D43)</f>
        <v>6000000</v>
      </c>
      <c r="E22" s="72">
        <f t="shared" si="0"/>
        <v>5264035.8900000006</v>
      </c>
      <c r="F22" s="72">
        <f t="shared" si="0"/>
        <v>0</v>
      </c>
      <c r="G22" s="72">
        <f t="shared" si="0"/>
        <v>6300000</v>
      </c>
      <c r="H22" s="72">
        <f t="shared" si="0"/>
        <v>2088100.17</v>
      </c>
      <c r="I22" s="72">
        <f>SUM(I31,I43)</f>
        <v>7611540.4999999991</v>
      </c>
      <c r="J22" s="72">
        <f>SUM(J31,J43)</f>
        <v>-7611540.4999999991</v>
      </c>
      <c r="K22" s="72">
        <f t="shared" si="0"/>
        <v>25040316.960000001</v>
      </c>
      <c r="L22" s="72">
        <f t="shared" si="0"/>
        <v>2493105.4</v>
      </c>
      <c r="M22" s="72">
        <f t="shared" si="0"/>
        <v>0</v>
      </c>
      <c r="N22" s="73">
        <f>SUM(D22:M22)</f>
        <v>47185558.420000002</v>
      </c>
      <c r="O22" s="73">
        <f>C22+N22</f>
        <v>250433678.69999999</v>
      </c>
    </row>
    <row r="23" spans="1:15" ht="15.75" x14ac:dyDescent="0.25">
      <c r="A23" s="3" t="s">
        <v>103</v>
      </c>
      <c r="B23" s="1" t="s">
        <v>104</v>
      </c>
      <c r="C23" s="37">
        <v>168601169</v>
      </c>
      <c r="D23" s="37">
        <v>0</v>
      </c>
      <c r="E23" s="2">
        <v>0</v>
      </c>
      <c r="F23" s="2">
        <v>0</v>
      </c>
      <c r="G23" s="2">
        <v>6300000</v>
      </c>
      <c r="H23" s="2">
        <v>611828.93999999994</v>
      </c>
      <c r="I23" s="2">
        <v>4381312.46</v>
      </c>
      <c r="J23" s="2">
        <f>-I23</f>
        <v>-4381312.46</v>
      </c>
      <c r="K23" s="2">
        <v>26687002.460000001</v>
      </c>
      <c r="L23" s="2">
        <v>903455.63</v>
      </c>
      <c r="M23" s="2">
        <v>0</v>
      </c>
      <c r="N23" s="62">
        <f>SUM(D23:M23)</f>
        <v>34502287.030000001</v>
      </c>
      <c r="O23" s="62">
        <f>C23+N23</f>
        <v>203103456.03</v>
      </c>
    </row>
    <row r="24" spans="1:15" ht="15.75" x14ac:dyDescent="0.25">
      <c r="A24" s="3" t="s">
        <v>99</v>
      </c>
      <c r="B24" s="1" t="s">
        <v>115</v>
      </c>
      <c r="C24" s="37">
        <v>12028000</v>
      </c>
      <c r="D24" s="37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f t="shared" ref="J24:J30" si="1">-I24</f>
        <v>0</v>
      </c>
      <c r="K24" s="2">
        <v>739000</v>
      </c>
      <c r="L24" s="2">
        <v>0</v>
      </c>
      <c r="M24" s="2">
        <v>0</v>
      </c>
      <c r="N24" s="62">
        <f t="shared" ref="N24:N43" si="2">SUM(D24:M24)</f>
        <v>739000</v>
      </c>
      <c r="O24" s="62">
        <f t="shared" ref="O24:O87" si="3">C24+N24</f>
        <v>12767000</v>
      </c>
    </row>
    <row r="25" spans="1:15" ht="15.75" x14ac:dyDescent="0.25">
      <c r="A25" s="3" t="s">
        <v>125</v>
      </c>
      <c r="B25" s="1" t="s">
        <v>116</v>
      </c>
      <c r="C25" s="37">
        <f>327000</f>
        <v>327000</v>
      </c>
      <c r="D25" s="37">
        <v>0</v>
      </c>
      <c r="E25" s="2">
        <v>0</v>
      </c>
      <c r="F25" s="2">
        <v>0</v>
      </c>
      <c r="G25" s="2">
        <v>0</v>
      </c>
      <c r="H25" s="2">
        <v>5028.01</v>
      </c>
      <c r="I25" s="2">
        <v>5925.47</v>
      </c>
      <c r="J25" s="2">
        <f t="shared" si="1"/>
        <v>-5925.47</v>
      </c>
      <c r="K25" s="2">
        <v>102971.99</v>
      </c>
      <c r="L25" s="2">
        <v>0</v>
      </c>
      <c r="M25" s="2">
        <v>0</v>
      </c>
      <c r="N25" s="62">
        <f t="shared" si="2"/>
        <v>108000</v>
      </c>
      <c r="O25" s="62">
        <f t="shared" si="3"/>
        <v>435000</v>
      </c>
    </row>
    <row r="26" spans="1:15" ht="15.75" x14ac:dyDescent="0.25">
      <c r="A26" s="3" t="s">
        <v>126</v>
      </c>
      <c r="B26" s="1" t="s">
        <v>90</v>
      </c>
      <c r="C26" s="37">
        <v>758000</v>
      </c>
      <c r="D26" s="37">
        <v>0</v>
      </c>
      <c r="E26" s="2">
        <v>0</v>
      </c>
      <c r="F26" s="2">
        <v>0</v>
      </c>
      <c r="G26" s="2">
        <v>0</v>
      </c>
      <c r="H26" s="2">
        <v>71551</v>
      </c>
      <c r="I26" s="2">
        <v>1099615.75</v>
      </c>
      <c r="J26" s="2">
        <f t="shared" si="1"/>
        <v>-1099615.75</v>
      </c>
      <c r="K26" s="2">
        <v>1590449</v>
      </c>
      <c r="L26" s="2">
        <v>0</v>
      </c>
      <c r="M26" s="2">
        <v>0</v>
      </c>
      <c r="N26" s="62">
        <f t="shared" si="2"/>
        <v>1662000</v>
      </c>
      <c r="O26" s="62">
        <f t="shared" si="3"/>
        <v>2420000</v>
      </c>
    </row>
    <row r="27" spans="1:15" ht="15.75" x14ac:dyDescent="0.25">
      <c r="A27" s="3" t="s">
        <v>100</v>
      </c>
      <c r="B27" s="1" t="s">
        <v>117</v>
      </c>
      <c r="C27" s="37">
        <v>2154000</v>
      </c>
      <c r="D27" s="37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f t="shared" si="1"/>
        <v>0</v>
      </c>
      <c r="K27" s="2">
        <v>-254000</v>
      </c>
      <c r="L27" s="2">
        <v>0</v>
      </c>
      <c r="M27" s="2">
        <v>0</v>
      </c>
      <c r="N27" s="62">
        <f t="shared" si="2"/>
        <v>-254000</v>
      </c>
      <c r="O27" s="62">
        <f t="shared" si="3"/>
        <v>1900000</v>
      </c>
    </row>
    <row r="28" spans="1:15" ht="15.75" x14ac:dyDescent="0.25">
      <c r="A28" s="3" t="s">
        <v>165</v>
      </c>
      <c r="B28" s="1" t="s">
        <v>174</v>
      </c>
      <c r="C28" s="37">
        <v>1900000</v>
      </c>
      <c r="D28" s="37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f t="shared" si="1"/>
        <v>0</v>
      </c>
      <c r="K28" s="2">
        <v>-33000</v>
      </c>
      <c r="L28" s="2">
        <v>0</v>
      </c>
      <c r="M28" s="2">
        <v>0</v>
      </c>
      <c r="N28" s="62">
        <f t="shared" si="2"/>
        <v>-33000</v>
      </c>
      <c r="O28" s="62">
        <f t="shared" si="3"/>
        <v>1867000</v>
      </c>
    </row>
    <row r="29" spans="1:15" ht="15.75" x14ac:dyDescent="0.25">
      <c r="A29" s="3" t="s">
        <v>106</v>
      </c>
      <c r="B29" s="1" t="s">
        <v>107</v>
      </c>
      <c r="C29" s="37">
        <v>3950000</v>
      </c>
      <c r="D29" s="37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f t="shared" si="1"/>
        <v>0</v>
      </c>
      <c r="K29" s="2">
        <v>0</v>
      </c>
      <c r="L29" s="2">
        <v>0</v>
      </c>
      <c r="M29" s="2">
        <v>0</v>
      </c>
      <c r="N29" s="62">
        <f t="shared" si="2"/>
        <v>0</v>
      </c>
      <c r="O29" s="62">
        <f t="shared" si="3"/>
        <v>3950000</v>
      </c>
    </row>
    <row r="30" spans="1:15" ht="15.75" x14ac:dyDescent="0.25">
      <c r="A30" s="3" t="s">
        <v>127</v>
      </c>
      <c r="B30" s="1" t="s">
        <v>173</v>
      </c>
      <c r="C30" s="37">
        <v>909000</v>
      </c>
      <c r="D30" s="37">
        <v>0</v>
      </c>
      <c r="E30" s="2">
        <v>0</v>
      </c>
      <c r="F30" s="2">
        <v>0</v>
      </c>
      <c r="G30" s="2">
        <v>0</v>
      </c>
      <c r="H30" s="2">
        <v>136610.72</v>
      </c>
      <c r="I30" s="2">
        <v>276986.56</v>
      </c>
      <c r="J30" s="2">
        <f t="shared" si="1"/>
        <v>-276986.56</v>
      </c>
      <c r="K30" s="2">
        <v>1044389.28</v>
      </c>
      <c r="L30" s="2">
        <v>100000</v>
      </c>
      <c r="M30" s="2">
        <v>0</v>
      </c>
      <c r="N30" s="62">
        <f t="shared" si="2"/>
        <v>1281000</v>
      </c>
      <c r="O30" s="62">
        <f t="shared" si="3"/>
        <v>2190000</v>
      </c>
    </row>
    <row r="31" spans="1:15" ht="15.75" x14ac:dyDescent="0.25">
      <c r="A31" s="70"/>
      <c r="B31" s="71" t="s">
        <v>118</v>
      </c>
      <c r="C31" s="72">
        <f>SUM(C23:C30)</f>
        <v>190627169</v>
      </c>
      <c r="D31" s="72">
        <f t="shared" ref="D31:M31" si="4">SUM(D23:D30)</f>
        <v>0</v>
      </c>
      <c r="E31" s="72">
        <f t="shared" si="4"/>
        <v>0</v>
      </c>
      <c r="F31" s="72">
        <f t="shared" si="4"/>
        <v>0</v>
      </c>
      <c r="G31" s="72">
        <f t="shared" si="4"/>
        <v>6300000</v>
      </c>
      <c r="H31" s="72">
        <f t="shared" si="4"/>
        <v>825018.66999999993</v>
      </c>
      <c r="I31" s="72">
        <f t="shared" si="4"/>
        <v>5763840.2399999993</v>
      </c>
      <c r="J31" s="72">
        <f t="shared" si="4"/>
        <v>-5763840.2399999993</v>
      </c>
      <c r="K31" s="72">
        <f t="shared" si="4"/>
        <v>29876812.73</v>
      </c>
      <c r="L31" s="72">
        <f t="shared" si="4"/>
        <v>1003455.63</v>
      </c>
      <c r="M31" s="72">
        <f t="shared" si="4"/>
        <v>0</v>
      </c>
      <c r="N31" s="73">
        <f>SUM(D31:M31)</f>
        <v>38005287.030000001</v>
      </c>
      <c r="O31" s="73">
        <f>C31+N31</f>
        <v>228632456.03</v>
      </c>
    </row>
    <row r="32" spans="1:15" ht="15.75" x14ac:dyDescent="0.25">
      <c r="A32" s="3" t="s">
        <v>166</v>
      </c>
      <c r="B32" s="1" t="s">
        <v>119</v>
      </c>
      <c r="C32" s="37">
        <v>2950300</v>
      </c>
      <c r="D32" s="37">
        <v>0</v>
      </c>
      <c r="E32" s="2">
        <v>1800000</v>
      </c>
      <c r="F32" s="2">
        <v>0</v>
      </c>
      <c r="G32" s="2">
        <v>0</v>
      </c>
      <c r="H32" s="2">
        <v>0</v>
      </c>
      <c r="I32" s="2">
        <v>660458.62</v>
      </c>
      <c r="J32" s="2">
        <f>-I32</f>
        <v>-660458.62</v>
      </c>
      <c r="K32" s="2">
        <v>803700</v>
      </c>
      <c r="L32" s="2">
        <v>440000</v>
      </c>
      <c r="M32" s="2">
        <v>0</v>
      </c>
      <c r="N32" s="62">
        <f t="shared" si="2"/>
        <v>3043700</v>
      </c>
      <c r="O32" s="62">
        <f t="shared" si="3"/>
        <v>5994000</v>
      </c>
    </row>
    <row r="33" spans="1:15" ht="15.75" x14ac:dyDescent="0.25">
      <c r="A33" s="3" t="s">
        <v>128</v>
      </c>
      <c r="B33" s="1" t="s">
        <v>120</v>
      </c>
      <c r="C33" s="37">
        <v>1077100</v>
      </c>
      <c r="D33" s="37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f t="shared" ref="J33:J42" si="5">-I33</f>
        <v>0</v>
      </c>
      <c r="K33" s="2">
        <v>0</v>
      </c>
      <c r="L33" s="2">
        <v>0</v>
      </c>
      <c r="M33" s="2">
        <v>0</v>
      </c>
      <c r="N33" s="62">
        <f t="shared" si="2"/>
        <v>0</v>
      </c>
      <c r="O33" s="62">
        <f t="shared" si="3"/>
        <v>1077100</v>
      </c>
    </row>
    <row r="34" spans="1:15" ht="15.75" x14ac:dyDescent="0.25">
      <c r="A34" s="3" t="s">
        <v>129</v>
      </c>
      <c r="B34" s="1" t="s">
        <v>121</v>
      </c>
      <c r="C34" s="37">
        <v>400000</v>
      </c>
      <c r="D34" s="37">
        <v>0</v>
      </c>
      <c r="E34" s="2">
        <v>764035.89</v>
      </c>
      <c r="F34" s="2">
        <v>0</v>
      </c>
      <c r="G34" s="2">
        <v>0</v>
      </c>
      <c r="H34" s="2">
        <v>646612.18999999994</v>
      </c>
      <c r="I34" s="2">
        <v>539809.86</v>
      </c>
      <c r="J34" s="2">
        <f t="shared" si="5"/>
        <v>-539809.86</v>
      </c>
      <c r="K34" s="2">
        <v>989351.92</v>
      </c>
      <c r="L34" s="2">
        <v>363898.97</v>
      </c>
      <c r="M34" s="2">
        <v>0</v>
      </c>
      <c r="N34" s="62">
        <f t="shared" si="2"/>
        <v>2763898.9699999997</v>
      </c>
      <c r="O34" s="62">
        <f t="shared" si="3"/>
        <v>3163898.9699999997</v>
      </c>
    </row>
    <row r="35" spans="1:15" ht="15.75" x14ac:dyDescent="0.25">
      <c r="A35" s="3" t="s">
        <v>101</v>
      </c>
      <c r="B35" s="1" t="s">
        <v>102</v>
      </c>
      <c r="C35" s="37">
        <v>100000</v>
      </c>
      <c r="D35" s="37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f t="shared" si="5"/>
        <v>0</v>
      </c>
      <c r="K35" s="2">
        <v>0</v>
      </c>
      <c r="L35" s="2">
        <v>0</v>
      </c>
      <c r="M35" s="2">
        <v>0</v>
      </c>
      <c r="N35" s="62">
        <f t="shared" si="2"/>
        <v>0</v>
      </c>
      <c r="O35" s="62">
        <f t="shared" si="3"/>
        <v>100000</v>
      </c>
    </row>
    <row r="36" spans="1:15" ht="15.75" x14ac:dyDescent="0.25">
      <c r="A36" s="3" t="s">
        <v>130</v>
      </c>
      <c r="B36" s="1" t="s">
        <v>122</v>
      </c>
      <c r="C36" s="37">
        <v>200000</v>
      </c>
      <c r="D36" s="37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f t="shared" si="5"/>
        <v>0</v>
      </c>
      <c r="K36" s="2">
        <v>0</v>
      </c>
      <c r="L36" s="2">
        <v>0</v>
      </c>
      <c r="M36" s="2">
        <v>0</v>
      </c>
      <c r="N36" s="62">
        <f t="shared" si="2"/>
        <v>0</v>
      </c>
      <c r="O36" s="62">
        <f t="shared" si="3"/>
        <v>200000</v>
      </c>
    </row>
    <row r="37" spans="1:15" ht="15.75" x14ac:dyDescent="0.25">
      <c r="A37" s="3" t="s">
        <v>167</v>
      </c>
      <c r="B37" s="1" t="s">
        <v>175</v>
      </c>
      <c r="C37" s="37">
        <v>5700000</v>
      </c>
      <c r="D37" s="37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f t="shared" si="5"/>
        <v>0</v>
      </c>
      <c r="K37" s="2">
        <v>-1200000</v>
      </c>
      <c r="L37" s="2">
        <v>0</v>
      </c>
      <c r="M37" s="2">
        <v>0</v>
      </c>
      <c r="N37" s="62">
        <f t="shared" si="2"/>
        <v>-1200000</v>
      </c>
      <c r="O37" s="62">
        <f t="shared" si="3"/>
        <v>4500000</v>
      </c>
    </row>
    <row r="38" spans="1:15" ht="15.75" x14ac:dyDescent="0.25">
      <c r="A38" s="3" t="s">
        <v>168</v>
      </c>
      <c r="B38" s="1" t="s">
        <v>123</v>
      </c>
      <c r="C38" s="37">
        <v>100000</v>
      </c>
      <c r="D38" s="2">
        <v>6000000</v>
      </c>
      <c r="E38" s="2">
        <v>2500000</v>
      </c>
      <c r="F38" s="2">
        <v>0</v>
      </c>
      <c r="G38" s="2">
        <v>0</v>
      </c>
      <c r="H38" s="2">
        <v>0</v>
      </c>
      <c r="I38" s="2">
        <v>0</v>
      </c>
      <c r="J38" s="2">
        <f t="shared" si="5"/>
        <v>0</v>
      </c>
      <c r="K38" s="2">
        <v>-6900000</v>
      </c>
      <c r="L38" s="2">
        <v>350000</v>
      </c>
      <c r="M38" s="2">
        <v>0</v>
      </c>
      <c r="N38" s="62">
        <f t="shared" si="2"/>
        <v>1950000</v>
      </c>
      <c r="O38" s="62">
        <f t="shared" si="3"/>
        <v>2050000</v>
      </c>
    </row>
    <row r="39" spans="1:15" ht="15.75" x14ac:dyDescent="0.25">
      <c r="A39" s="3" t="s">
        <v>131</v>
      </c>
      <c r="B39" s="1" t="s">
        <v>176</v>
      </c>
      <c r="C39" s="37">
        <v>283551.28000000003</v>
      </c>
      <c r="D39" s="37">
        <v>0</v>
      </c>
      <c r="E39" s="2">
        <v>0</v>
      </c>
      <c r="F39" s="2">
        <v>0</v>
      </c>
      <c r="G39" s="2">
        <v>0</v>
      </c>
      <c r="H39" s="2">
        <v>186448.72</v>
      </c>
      <c r="I39" s="2">
        <v>93244.09</v>
      </c>
      <c r="J39" s="2">
        <f t="shared" si="5"/>
        <v>-93244.09</v>
      </c>
      <c r="K39" s="2">
        <v>730000</v>
      </c>
      <c r="L39" s="2">
        <v>10000</v>
      </c>
      <c r="M39" s="2">
        <v>0</v>
      </c>
      <c r="N39" s="62">
        <f t="shared" si="2"/>
        <v>926448.72</v>
      </c>
      <c r="O39" s="62">
        <f t="shared" si="3"/>
        <v>1210000</v>
      </c>
    </row>
    <row r="40" spans="1:15" ht="15.75" x14ac:dyDescent="0.25">
      <c r="A40" s="30" t="s">
        <v>169</v>
      </c>
      <c r="B40" s="35" t="s">
        <v>177</v>
      </c>
      <c r="C40" s="38">
        <v>60000</v>
      </c>
      <c r="D40" s="38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f t="shared" si="5"/>
        <v>0</v>
      </c>
      <c r="K40" s="2">
        <v>0</v>
      </c>
      <c r="L40" s="2">
        <v>45172.94</v>
      </c>
      <c r="M40" s="2">
        <v>0</v>
      </c>
      <c r="N40" s="62">
        <f t="shared" si="2"/>
        <v>45172.94</v>
      </c>
      <c r="O40" s="62">
        <f t="shared" si="3"/>
        <v>105172.94</v>
      </c>
    </row>
    <row r="41" spans="1:15" ht="15.75" x14ac:dyDescent="0.25">
      <c r="A41" s="3" t="s">
        <v>105</v>
      </c>
      <c r="B41" s="1" t="s">
        <v>178</v>
      </c>
      <c r="C41" s="37">
        <v>1650000</v>
      </c>
      <c r="D41" s="37">
        <v>0</v>
      </c>
      <c r="E41" s="2">
        <v>200000</v>
      </c>
      <c r="F41" s="2">
        <v>0</v>
      </c>
      <c r="G41" s="2">
        <v>0</v>
      </c>
      <c r="H41" s="2">
        <v>430020.59</v>
      </c>
      <c r="I41" s="2">
        <v>554187.68999999994</v>
      </c>
      <c r="J41" s="2">
        <f t="shared" si="5"/>
        <v>-554187.68999999994</v>
      </c>
      <c r="K41" s="2">
        <v>740452.31</v>
      </c>
      <c r="L41" s="2">
        <v>217283.66</v>
      </c>
      <c r="M41" s="2">
        <v>0</v>
      </c>
      <c r="N41" s="62">
        <f t="shared" si="2"/>
        <v>1587756.56</v>
      </c>
      <c r="O41" s="62">
        <f t="shared" si="3"/>
        <v>3237756.56</v>
      </c>
    </row>
    <row r="42" spans="1:15" ht="15.75" x14ac:dyDescent="0.25">
      <c r="A42" s="3" t="s">
        <v>133</v>
      </c>
      <c r="B42" s="1" t="s">
        <v>124</v>
      </c>
      <c r="C42" s="37">
        <v>100000</v>
      </c>
      <c r="D42" s="37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f t="shared" si="5"/>
        <v>0</v>
      </c>
      <c r="K42" s="2">
        <v>0</v>
      </c>
      <c r="L42" s="2">
        <v>63294.2</v>
      </c>
      <c r="M42" s="2">
        <v>0</v>
      </c>
      <c r="N42" s="62">
        <f t="shared" si="2"/>
        <v>63294.2</v>
      </c>
      <c r="O42" s="62">
        <f t="shared" si="3"/>
        <v>163294.20000000001</v>
      </c>
    </row>
    <row r="43" spans="1:15" ht="15.75" x14ac:dyDescent="0.25">
      <c r="A43" s="74"/>
      <c r="B43" s="71" t="s">
        <v>132</v>
      </c>
      <c r="C43" s="72">
        <f>SUM(C32:C42)</f>
        <v>12620951.279999999</v>
      </c>
      <c r="D43" s="72">
        <f t="shared" ref="D43:M43" si="6">SUM(D32:D42)</f>
        <v>6000000</v>
      </c>
      <c r="E43" s="72">
        <f t="shared" si="6"/>
        <v>5264035.8900000006</v>
      </c>
      <c r="F43" s="72">
        <f t="shared" si="6"/>
        <v>0</v>
      </c>
      <c r="G43" s="72">
        <f t="shared" si="6"/>
        <v>0</v>
      </c>
      <c r="H43" s="72">
        <f t="shared" si="6"/>
        <v>1263081.5</v>
      </c>
      <c r="I43" s="72">
        <f t="shared" si="6"/>
        <v>1847700.26</v>
      </c>
      <c r="J43" s="72">
        <f t="shared" si="6"/>
        <v>-1847700.26</v>
      </c>
      <c r="K43" s="72">
        <f t="shared" si="6"/>
        <v>-4836495.7699999996</v>
      </c>
      <c r="L43" s="72">
        <f t="shared" si="6"/>
        <v>1489649.7699999998</v>
      </c>
      <c r="M43" s="72">
        <f t="shared" si="6"/>
        <v>0</v>
      </c>
      <c r="N43" s="73">
        <f t="shared" si="2"/>
        <v>9180271.3900000006</v>
      </c>
      <c r="O43" s="73">
        <f t="shared" si="3"/>
        <v>21801222.670000002</v>
      </c>
    </row>
    <row r="44" spans="1:15" ht="15.75" x14ac:dyDescent="0.25">
      <c r="A44" s="70" t="s">
        <v>5</v>
      </c>
      <c r="B44" s="71" t="s">
        <v>6</v>
      </c>
      <c r="C44" s="72">
        <f>SUM(C45+C49+C70+C91)</f>
        <v>571818900.79000008</v>
      </c>
      <c r="D44" s="72">
        <f t="shared" ref="D44:M44" si="7">SUM(D45+D49+D70+D91)</f>
        <v>28006743.970000003</v>
      </c>
      <c r="E44" s="72">
        <f t="shared" si="7"/>
        <v>-12448118.309999999</v>
      </c>
      <c r="F44" s="72">
        <f t="shared" si="7"/>
        <v>15937535.92</v>
      </c>
      <c r="G44" s="72">
        <f t="shared" si="7"/>
        <v>0</v>
      </c>
      <c r="H44" s="72">
        <f t="shared" si="7"/>
        <v>51039545.870000005</v>
      </c>
      <c r="I44" s="72">
        <f t="shared" si="7"/>
        <v>13106896.74</v>
      </c>
      <c r="J44" s="72">
        <f t="shared" si="7"/>
        <v>-13106896.74</v>
      </c>
      <c r="K44" s="72">
        <f t="shared" si="7"/>
        <v>13106896.74</v>
      </c>
      <c r="L44" s="72">
        <f t="shared" si="7"/>
        <v>-5301957.7600000007</v>
      </c>
      <c r="M44" s="72">
        <f t="shared" si="7"/>
        <v>0</v>
      </c>
      <c r="N44" s="73">
        <f>SUM(D44:M44)</f>
        <v>90340646.430000007</v>
      </c>
      <c r="O44" s="73">
        <f t="shared" si="3"/>
        <v>662159547.22000003</v>
      </c>
    </row>
    <row r="45" spans="1:15" ht="31.5" x14ac:dyDescent="0.25">
      <c r="A45" s="75" t="s">
        <v>88</v>
      </c>
      <c r="B45" s="71" t="s">
        <v>89</v>
      </c>
      <c r="C45" s="72">
        <f>C46+C47+C48</f>
        <v>228760338</v>
      </c>
      <c r="D45" s="72">
        <f t="shared" ref="D45:M45" si="8">D46+D47+D48</f>
        <v>0</v>
      </c>
      <c r="E45" s="72">
        <f t="shared" si="8"/>
        <v>0</v>
      </c>
      <c r="F45" s="72">
        <f t="shared" si="8"/>
        <v>9903700</v>
      </c>
      <c r="G45" s="72">
        <f t="shared" si="8"/>
        <v>0</v>
      </c>
      <c r="H45" s="72">
        <f t="shared" si="8"/>
        <v>17453809.530000001</v>
      </c>
      <c r="I45" s="72">
        <f t="shared" si="8"/>
        <v>0</v>
      </c>
      <c r="J45" s="72">
        <f t="shared" si="8"/>
        <v>0</v>
      </c>
      <c r="K45" s="72">
        <f t="shared" si="8"/>
        <v>0</v>
      </c>
      <c r="L45" s="72">
        <f t="shared" si="8"/>
        <v>13266193.289999999</v>
      </c>
      <c r="M45" s="72">
        <f t="shared" si="8"/>
        <v>0</v>
      </c>
      <c r="N45" s="73">
        <f t="shared" ref="N45:N97" si="9">SUM(D45:M45)</f>
        <v>40623702.82</v>
      </c>
      <c r="O45" s="73">
        <f t="shared" si="3"/>
        <v>269384040.81999999</v>
      </c>
    </row>
    <row r="46" spans="1:15" ht="49.5" customHeight="1" x14ac:dyDescent="0.25">
      <c r="A46" s="32" t="s">
        <v>203</v>
      </c>
      <c r="B46" s="33" t="s">
        <v>201</v>
      </c>
      <c r="C46" s="37">
        <v>213963338</v>
      </c>
      <c r="D46" s="37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f>-I46</f>
        <v>0</v>
      </c>
      <c r="K46" s="14">
        <v>0</v>
      </c>
      <c r="L46" s="14">
        <v>0</v>
      </c>
      <c r="M46" s="14">
        <v>0</v>
      </c>
      <c r="N46" s="66">
        <f t="shared" si="9"/>
        <v>0</v>
      </c>
      <c r="O46" s="66">
        <f t="shared" si="3"/>
        <v>213963338</v>
      </c>
    </row>
    <row r="47" spans="1:15" ht="35.25" customHeight="1" x14ac:dyDescent="0.25">
      <c r="A47" s="26" t="s">
        <v>91</v>
      </c>
      <c r="B47" s="13" t="s">
        <v>202</v>
      </c>
      <c r="C47" s="37">
        <v>0</v>
      </c>
      <c r="D47" s="37">
        <v>0</v>
      </c>
      <c r="E47" s="14">
        <v>0</v>
      </c>
      <c r="F47" s="14">
        <v>9903700</v>
      </c>
      <c r="G47" s="14">
        <v>0</v>
      </c>
      <c r="H47" s="14">
        <v>17453809.530000001</v>
      </c>
      <c r="I47" s="53">
        <v>0</v>
      </c>
      <c r="J47" s="14">
        <f t="shared" ref="J47:J48" si="10">-I47</f>
        <v>0</v>
      </c>
      <c r="K47" s="53">
        <v>0</v>
      </c>
      <c r="L47" s="53">
        <v>12866193.289999999</v>
      </c>
      <c r="M47" s="14">
        <v>0</v>
      </c>
      <c r="N47" s="66">
        <f t="shared" si="9"/>
        <v>40223702.82</v>
      </c>
      <c r="O47" s="66">
        <f t="shared" si="3"/>
        <v>40223702.82</v>
      </c>
    </row>
    <row r="48" spans="1:15" ht="36" customHeight="1" x14ac:dyDescent="0.25">
      <c r="A48" s="26" t="s">
        <v>170</v>
      </c>
      <c r="B48" s="13" t="s">
        <v>179</v>
      </c>
      <c r="C48" s="37">
        <v>14797000</v>
      </c>
      <c r="D48" s="37">
        <v>0</v>
      </c>
      <c r="E48" s="14">
        <v>0</v>
      </c>
      <c r="F48" s="14">
        <v>0</v>
      </c>
      <c r="G48" s="14">
        <v>0</v>
      </c>
      <c r="H48" s="14">
        <v>0</v>
      </c>
      <c r="I48" s="53">
        <v>0</v>
      </c>
      <c r="J48" s="14">
        <f t="shared" si="10"/>
        <v>0</v>
      </c>
      <c r="K48" s="53">
        <v>0</v>
      </c>
      <c r="L48" s="53">
        <v>400000</v>
      </c>
      <c r="M48" s="14">
        <v>0</v>
      </c>
      <c r="N48" s="66">
        <f t="shared" si="9"/>
        <v>400000</v>
      </c>
      <c r="O48" s="66">
        <f t="shared" si="3"/>
        <v>15197000</v>
      </c>
    </row>
    <row r="49" spans="1:15" ht="51" customHeight="1" x14ac:dyDescent="0.25">
      <c r="A49" s="75" t="s">
        <v>78</v>
      </c>
      <c r="B49" s="69" t="s">
        <v>79</v>
      </c>
      <c r="C49" s="76">
        <f>SUM(C50:C69)</f>
        <v>28907882.239999998</v>
      </c>
      <c r="D49" s="76">
        <f t="shared" ref="D49:M49" si="11">SUM(D50:D69)</f>
        <v>31043964.160000004</v>
      </c>
      <c r="E49" s="76">
        <f t="shared" si="11"/>
        <v>-12448118.309999999</v>
      </c>
      <c r="F49" s="76">
        <f t="shared" si="11"/>
        <v>7500000</v>
      </c>
      <c r="G49" s="76">
        <f t="shared" si="11"/>
        <v>0</v>
      </c>
      <c r="H49" s="76">
        <f t="shared" si="11"/>
        <v>34568193.340000004</v>
      </c>
      <c r="I49" s="76">
        <f t="shared" si="11"/>
        <v>10885866.74</v>
      </c>
      <c r="J49" s="76">
        <f t="shared" si="11"/>
        <v>-10885866.74</v>
      </c>
      <c r="K49" s="76">
        <f t="shared" si="11"/>
        <v>10885866.74</v>
      </c>
      <c r="L49" s="76">
        <f t="shared" si="11"/>
        <v>-5337722.2299999995</v>
      </c>
      <c r="M49" s="76">
        <f t="shared" si="11"/>
        <v>0</v>
      </c>
      <c r="N49" s="73">
        <f>SUM(D49:M49)</f>
        <v>66212183.70000001</v>
      </c>
      <c r="O49" s="73">
        <f>C49+N49</f>
        <v>95120065.940000013</v>
      </c>
    </row>
    <row r="50" spans="1:15" ht="47.25" customHeight="1" x14ac:dyDescent="0.25">
      <c r="A50" s="26" t="s">
        <v>172</v>
      </c>
      <c r="B50" s="34" t="s">
        <v>181</v>
      </c>
      <c r="C50" s="51">
        <v>9683513.6999999993</v>
      </c>
      <c r="D50" s="51">
        <v>-9683513.6999999993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f>-I50</f>
        <v>0</v>
      </c>
      <c r="K50" s="51">
        <v>0</v>
      </c>
      <c r="L50" s="51">
        <v>0</v>
      </c>
      <c r="M50" s="51">
        <v>0</v>
      </c>
      <c r="N50" s="66">
        <f t="shared" si="9"/>
        <v>-9683513.6999999993</v>
      </c>
      <c r="O50" s="66">
        <f t="shared" si="3"/>
        <v>0</v>
      </c>
    </row>
    <row r="51" spans="1:15" ht="48" customHeight="1" x14ac:dyDescent="0.25">
      <c r="A51" s="26" t="s">
        <v>171</v>
      </c>
      <c r="B51" s="34" t="s">
        <v>180</v>
      </c>
      <c r="C51" s="51">
        <v>114147.11</v>
      </c>
      <c r="D51" s="51">
        <v>23330.75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f t="shared" ref="J51:J69" si="12">-I51</f>
        <v>0</v>
      </c>
      <c r="K51" s="51">
        <v>0</v>
      </c>
      <c r="L51" s="51">
        <v>0</v>
      </c>
      <c r="M51" s="51">
        <v>0</v>
      </c>
      <c r="N51" s="66">
        <f t="shared" si="9"/>
        <v>23330.75</v>
      </c>
      <c r="O51" s="66">
        <f t="shared" si="3"/>
        <v>137477.85999999999</v>
      </c>
    </row>
    <row r="52" spans="1:15" ht="63.75" customHeight="1" x14ac:dyDescent="0.25">
      <c r="A52" s="26" t="s">
        <v>80</v>
      </c>
      <c r="B52" s="34" t="s">
        <v>219</v>
      </c>
      <c r="C52" s="51">
        <v>0</v>
      </c>
      <c r="D52" s="51">
        <v>0</v>
      </c>
      <c r="E52" s="51">
        <v>0</v>
      </c>
      <c r="F52" s="51">
        <v>7500000</v>
      </c>
      <c r="G52" s="51">
        <v>0</v>
      </c>
      <c r="H52" s="51">
        <v>0</v>
      </c>
      <c r="I52" s="51">
        <v>0</v>
      </c>
      <c r="J52" s="51">
        <f t="shared" si="12"/>
        <v>0</v>
      </c>
      <c r="K52" s="51">
        <v>0</v>
      </c>
      <c r="L52" s="51">
        <v>0</v>
      </c>
      <c r="M52" s="51">
        <v>0</v>
      </c>
      <c r="N52" s="66">
        <f t="shared" si="9"/>
        <v>7500000</v>
      </c>
      <c r="O52" s="66">
        <f t="shared" si="3"/>
        <v>7500000</v>
      </c>
    </row>
    <row r="53" spans="1:15" ht="63.75" customHeight="1" x14ac:dyDescent="0.25">
      <c r="A53" s="26" t="s">
        <v>80</v>
      </c>
      <c r="B53" s="34" t="s">
        <v>220</v>
      </c>
      <c r="C53" s="51">
        <v>0</v>
      </c>
      <c r="D53" s="51">
        <v>0</v>
      </c>
      <c r="E53" s="51">
        <v>10000000</v>
      </c>
      <c r="F53" s="51">
        <v>0</v>
      </c>
      <c r="G53" s="51">
        <v>0</v>
      </c>
      <c r="H53" s="51">
        <v>-10000000</v>
      </c>
      <c r="I53" s="51">
        <v>0</v>
      </c>
      <c r="J53" s="51">
        <f t="shared" si="12"/>
        <v>0</v>
      </c>
      <c r="K53" s="51">
        <v>0</v>
      </c>
      <c r="L53" s="51">
        <v>0</v>
      </c>
      <c r="M53" s="51">
        <v>0</v>
      </c>
      <c r="N53" s="66">
        <f t="shared" si="9"/>
        <v>0</v>
      </c>
      <c r="O53" s="66">
        <f t="shared" si="3"/>
        <v>0</v>
      </c>
    </row>
    <row r="54" spans="1:15" ht="63" x14ac:dyDescent="0.25">
      <c r="A54" s="26" t="s">
        <v>80</v>
      </c>
      <c r="B54" s="34" t="s">
        <v>182</v>
      </c>
      <c r="C54" s="51">
        <f>500000.02</f>
        <v>500000.02</v>
      </c>
      <c r="D54" s="51">
        <v>0</v>
      </c>
      <c r="E54" s="51">
        <v>-271024.02</v>
      </c>
      <c r="F54" s="51">
        <v>0</v>
      </c>
      <c r="G54" s="51">
        <v>0</v>
      </c>
      <c r="H54" s="51">
        <v>-228976</v>
      </c>
      <c r="I54" s="53">
        <v>0</v>
      </c>
      <c r="J54" s="51">
        <f t="shared" si="12"/>
        <v>0</v>
      </c>
      <c r="K54" s="53">
        <v>0</v>
      </c>
      <c r="L54" s="53">
        <v>0</v>
      </c>
      <c r="M54" s="51">
        <v>0</v>
      </c>
      <c r="N54" s="66">
        <f t="shared" si="9"/>
        <v>-500000.02</v>
      </c>
      <c r="O54" s="66">
        <f t="shared" si="3"/>
        <v>0</v>
      </c>
    </row>
    <row r="55" spans="1:15" ht="31.5" x14ac:dyDescent="0.25">
      <c r="A55" s="26" t="s">
        <v>80</v>
      </c>
      <c r="B55" s="34" t="s">
        <v>214</v>
      </c>
      <c r="C55" s="51">
        <v>0</v>
      </c>
      <c r="D55" s="51">
        <v>1500000</v>
      </c>
      <c r="E55" s="51">
        <v>0</v>
      </c>
      <c r="F55" s="51">
        <v>0</v>
      </c>
      <c r="G55" s="51">
        <v>0</v>
      </c>
      <c r="H55" s="51">
        <v>-521880</v>
      </c>
      <c r="I55" s="53">
        <v>0</v>
      </c>
      <c r="J55" s="51">
        <f t="shared" si="12"/>
        <v>0</v>
      </c>
      <c r="K55" s="53">
        <v>0</v>
      </c>
      <c r="L55" s="53">
        <v>0</v>
      </c>
      <c r="M55" s="51">
        <v>0</v>
      </c>
      <c r="N55" s="66">
        <f t="shared" si="9"/>
        <v>978120</v>
      </c>
      <c r="O55" s="66">
        <f t="shared" si="3"/>
        <v>978120</v>
      </c>
    </row>
    <row r="56" spans="1:15" ht="31.5" x14ac:dyDescent="0.25">
      <c r="A56" s="26" t="s">
        <v>80</v>
      </c>
      <c r="B56" s="34" t="s">
        <v>215</v>
      </c>
      <c r="C56" s="51">
        <v>0</v>
      </c>
      <c r="D56" s="51">
        <v>6000000</v>
      </c>
      <c r="E56" s="51">
        <v>0</v>
      </c>
      <c r="F56" s="51">
        <v>0</v>
      </c>
      <c r="G56" s="51">
        <v>0</v>
      </c>
      <c r="H56" s="51">
        <v>-225000.08</v>
      </c>
      <c r="I56" s="53">
        <v>0</v>
      </c>
      <c r="J56" s="51">
        <f t="shared" si="12"/>
        <v>0</v>
      </c>
      <c r="K56" s="53">
        <v>0</v>
      </c>
      <c r="L56" s="53">
        <v>0</v>
      </c>
      <c r="M56" s="51">
        <v>0</v>
      </c>
      <c r="N56" s="66">
        <f t="shared" si="9"/>
        <v>5774999.9199999999</v>
      </c>
      <c r="O56" s="66">
        <f t="shared" si="3"/>
        <v>5774999.9199999999</v>
      </c>
    </row>
    <row r="57" spans="1:15" ht="51.75" customHeight="1" x14ac:dyDescent="0.25">
      <c r="A57" s="26" t="s">
        <v>80</v>
      </c>
      <c r="B57" s="34" t="s">
        <v>204</v>
      </c>
      <c r="C57" s="51">
        <v>4894529.29</v>
      </c>
      <c r="D57" s="51">
        <v>50459.07</v>
      </c>
      <c r="E57" s="51">
        <v>0</v>
      </c>
      <c r="F57" s="51">
        <v>0</v>
      </c>
      <c r="G57" s="51">
        <v>0</v>
      </c>
      <c r="H57" s="51">
        <v>0</v>
      </c>
      <c r="I57" s="53">
        <v>0</v>
      </c>
      <c r="J57" s="51">
        <f t="shared" si="12"/>
        <v>0</v>
      </c>
      <c r="K57" s="53">
        <v>0</v>
      </c>
      <c r="L57" s="53">
        <v>0</v>
      </c>
      <c r="M57" s="51">
        <v>0</v>
      </c>
      <c r="N57" s="66">
        <f t="shared" si="9"/>
        <v>50459.07</v>
      </c>
      <c r="O57" s="66">
        <f t="shared" si="3"/>
        <v>4944988.3600000003</v>
      </c>
    </row>
    <row r="58" spans="1:15" ht="79.5" customHeight="1" x14ac:dyDescent="0.25">
      <c r="A58" s="26" t="s">
        <v>80</v>
      </c>
      <c r="B58" s="34" t="s">
        <v>216</v>
      </c>
      <c r="C58" s="51">
        <v>0</v>
      </c>
      <c r="D58" s="51">
        <v>22177094.289999999</v>
      </c>
      <c r="E58" s="51">
        <v>-22177094.289999999</v>
      </c>
      <c r="F58" s="51">
        <v>0</v>
      </c>
      <c r="G58" s="51">
        <v>0</v>
      </c>
      <c r="H58" s="51">
        <v>0</v>
      </c>
      <c r="I58" s="53">
        <v>0</v>
      </c>
      <c r="J58" s="51">
        <f t="shared" si="12"/>
        <v>0</v>
      </c>
      <c r="K58" s="53">
        <v>0</v>
      </c>
      <c r="L58" s="53">
        <v>0</v>
      </c>
      <c r="M58" s="51">
        <v>0</v>
      </c>
      <c r="N58" s="66">
        <f t="shared" si="9"/>
        <v>0</v>
      </c>
      <c r="O58" s="66">
        <f t="shared" si="3"/>
        <v>0</v>
      </c>
    </row>
    <row r="59" spans="1:15" ht="31.5" x14ac:dyDescent="0.25">
      <c r="A59" s="26" t="s">
        <v>80</v>
      </c>
      <c r="B59" s="34" t="s">
        <v>205</v>
      </c>
      <c r="C59" s="51">
        <v>2530357.35</v>
      </c>
      <c r="D59" s="51">
        <v>0</v>
      </c>
      <c r="E59" s="51">
        <v>0</v>
      </c>
      <c r="F59" s="51">
        <v>0</v>
      </c>
      <c r="G59" s="51">
        <v>0</v>
      </c>
      <c r="H59" s="51">
        <v>143911.66</v>
      </c>
      <c r="I59" s="53">
        <v>10885866.74</v>
      </c>
      <c r="J59" s="51">
        <f t="shared" si="12"/>
        <v>-10885866.74</v>
      </c>
      <c r="K59" s="53">
        <v>10885866.74</v>
      </c>
      <c r="L59" s="53">
        <v>0</v>
      </c>
      <c r="M59" s="51">
        <v>0</v>
      </c>
      <c r="N59" s="66">
        <f t="shared" si="9"/>
        <v>11029778.4</v>
      </c>
      <c r="O59" s="66">
        <f t="shared" si="3"/>
        <v>13560135.75</v>
      </c>
    </row>
    <row r="60" spans="1:15" ht="47.25" x14ac:dyDescent="0.25">
      <c r="A60" s="26" t="s">
        <v>80</v>
      </c>
      <c r="B60" s="34" t="s">
        <v>183</v>
      </c>
      <c r="C60" s="51">
        <v>6143572.0899999999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3">
        <v>0</v>
      </c>
      <c r="J60" s="51">
        <f t="shared" si="12"/>
        <v>0</v>
      </c>
      <c r="K60" s="53">
        <v>0</v>
      </c>
      <c r="L60" s="53">
        <v>-5169211.09</v>
      </c>
      <c r="M60" s="51">
        <v>0</v>
      </c>
      <c r="N60" s="66">
        <f t="shared" si="9"/>
        <v>-5169211.09</v>
      </c>
      <c r="O60" s="66">
        <f t="shared" si="3"/>
        <v>974361</v>
      </c>
    </row>
    <row r="61" spans="1:15" ht="47.25" x14ac:dyDescent="0.25">
      <c r="A61" s="26" t="s">
        <v>80</v>
      </c>
      <c r="B61" s="34" t="s">
        <v>206</v>
      </c>
      <c r="C61" s="51">
        <v>4059000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3">
        <v>0</v>
      </c>
      <c r="J61" s="51">
        <f t="shared" si="12"/>
        <v>0</v>
      </c>
      <c r="K61" s="53">
        <v>0</v>
      </c>
      <c r="L61" s="53">
        <v>0</v>
      </c>
      <c r="M61" s="51">
        <v>0</v>
      </c>
      <c r="N61" s="66">
        <f t="shared" si="9"/>
        <v>0</v>
      </c>
      <c r="O61" s="66">
        <f t="shared" si="3"/>
        <v>4059000</v>
      </c>
    </row>
    <row r="62" spans="1:15" ht="47.25" x14ac:dyDescent="0.25">
      <c r="A62" s="26" t="s">
        <v>80</v>
      </c>
      <c r="B62" s="34" t="s">
        <v>207</v>
      </c>
      <c r="C62" s="51">
        <v>229723.05</v>
      </c>
      <c r="D62" s="51">
        <v>78504.42</v>
      </c>
      <c r="E62" s="51">
        <v>0</v>
      </c>
      <c r="F62" s="51">
        <v>0</v>
      </c>
      <c r="G62" s="51">
        <v>0</v>
      </c>
      <c r="H62" s="51">
        <v>0</v>
      </c>
      <c r="I62" s="53">
        <v>0</v>
      </c>
      <c r="J62" s="51">
        <f t="shared" si="12"/>
        <v>0</v>
      </c>
      <c r="K62" s="53">
        <v>0</v>
      </c>
      <c r="L62" s="53">
        <v>-73627.47</v>
      </c>
      <c r="M62" s="51">
        <v>0</v>
      </c>
      <c r="N62" s="66">
        <f t="shared" si="9"/>
        <v>4876.9499999999971</v>
      </c>
      <c r="O62" s="66">
        <f t="shared" si="3"/>
        <v>234600</v>
      </c>
    </row>
    <row r="63" spans="1:15" ht="63" x14ac:dyDescent="0.25">
      <c r="A63" s="26" t="s">
        <v>80</v>
      </c>
      <c r="B63" s="34" t="s">
        <v>236</v>
      </c>
      <c r="C63" s="51">
        <v>124082.24000000001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3">
        <v>0</v>
      </c>
      <c r="J63" s="51">
        <f t="shared" si="12"/>
        <v>0</v>
      </c>
      <c r="K63" s="53">
        <v>0</v>
      </c>
      <c r="L63" s="53">
        <v>0</v>
      </c>
      <c r="M63" s="51">
        <v>0</v>
      </c>
      <c r="N63" s="66">
        <f t="shared" si="9"/>
        <v>0</v>
      </c>
      <c r="O63" s="66">
        <f t="shared" si="3"/>
        <v>124082.24000000001</v>
      </c>
    </row>
    <row r="64" spans="1:15" ht="63" x14ac:dyDescent="0.25">
      <c r="A64" s="26" t="s">
        <v>80</v>
      </c>
      <c r="B64" s="34" t="s">
        <v>184</v>
      </c>
      <c r="C64" s="51">
        <v>168005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3">
        <v>0</v>
      </c>
      <c r="J64" s="51">
        <f t="shared" si="12"/>
        <v>0</v>
      </c>
      <c r="K64" s="53">
        <v>0</v>
      </c>
      <c r="L64" s="53">
        <v>0</v>
      </c>
      <c r="M64" s="51">
        <v>0</v>
      </c>
      <c r="N64" s="66">
        <f t="shared" si="9"/>
        <v>0</v>
      </c>
      <c r="O64" s="66">
        <f t="shared" si="3"/>
        <v>168005</v>
      </c>
    </row>
    <row r="65" spans="1:15" ht="63" x14ac:dyDescent="0.25">
      <c r="A65" s="26" t="s">
        <v>80</v>
      </c>
      <c r="B65" s="34" t="s">
        <v>208</v>
      </c>
      <c r="C65" s="51">
        <v>460952.39</v>
      </c>
      <c r="D65" s="51">
        <v>-52411.47</v>
      </c>
      <c r="E65" s="51">
        <v>0</v>
      </c>
      <c r="F65" s="51">
        <v>0</v>
      </c>
      <c r="G65" s="51">
        <v>0</v>
      </c>
      <c r="H65" s="51">
        <v>0</v>
      </c>
      <c r="I65" s="53">
        <v>0</v>
      </c>
      <c r="J65" s="51">
        <f t="shared" si="12"/>
        <v>0</v>
      </c>
      <c r="K65" s="53">
        <v>0</v>
      </c>
      <c r="L65" s="53">
        <v>0</v>
      </c>
      <c r="M65" s="51">
        <v>0</v>
      </c>
      <c r="N65" s="66">
        <f t="shared" si="9"/>
        <v>-52411.47</v>
      </c>
      <c r="O65" s="66">
        <f t="shared" si="3"/>
        <v>408540.92000000004</v>
      </c>
    </row>
    <row r="66" spans="1:15" ht="63" x14ac:dyDescent="0.25">
      <c r="A66" s="26" t="s">
        <v>80</v>
      </c>
      <c r="B66" s="34" t="s">
        <v>217</v>
      </c>
      <c r="C66" s="51">
        <v>0</v>
      </c>
      <c r="D66" s="51">
        <v>10675200</v>
      </c>
      <c r="E66" s="51">
        <v>0</v>
      </c>
      <c r="F66" s="51">
        <v>0</v>
      </c>
      <c r="G66" s="51">
        <v>0</v>
      </c>
      <c r="H66" s="51">
        <v>0</v>
      </c>
      <c r="I66" s="53">
        <v>0</v>
      </c>
      <c r="J66" s="51">
        <f t="shared" si="12"/>
        <v>0</v>
      </c>
      <c r="K66" s="53">
        <v>0</v>
      </c>
      <c r="L66" s="53">
        <v>0</v>
      </c>
      <c r="M66" s="51">
        <v>0</v>
      </c>
      <c r="N66" s="66">
        <f t="shared" si="9"/>
        <v>10675200</v>
      </c>
      <c r="O66" s="66">
        <f t="shared" si="3"/>
        <v>10675200</v>
      </c>
    </row>
    <row r="67" spans="1:15" ht="63" x14ac:dyDescent="0.25">
      <c r="A67" s="26" t="s">
        <v>80</v>
      </c>
      <c r="B67" s="34" t="s">
        <v>218</v>
      </c>
      <c r="C67" s="51">
        <v>0</v>
      </c>
      <c r="D67" s="51">
        <v>275300.8</v>
      </c>
      <c r="E67" s="51">
        <v>0</v>
      </c>
      <c r="F67" s="51">
        <v>0</v>
      </c>
      <c r="G67" s="51">
        <v>0</v>
      </c>
      <c r="H67" s="51">
        <v>0</v>
      </c>
      <c r="I67" s="53">
        <v>0</v>
      </c>
      <c r="J67" s="51">
        <f t="shared" si="12"/>
        <v>0</v>
      </c>
      <c r="K67" s="53">
        <v>0</v>
      </c>
      <c r="L67" s="53">
        <v>0</v>
      </c>
      <c r="M67" s="51">
        <v>0</v>
      </c>
      <c r="N67" s="66">
        <f t="shared" si="9"/>
        <v>275300.8</v>
      </c>
      <c r="O67" s="66">
        <f t="shared" si="3"/>
        <v>275300.8</v>
      </c>
    </row>
    <row r="68" spans="1:15" ht="63" x14ac:dyDescent="0.25">
      <c r="A68" s="44" t="s">
        <v>80</v>
      </c>
      <c r="B68" s="34" t="s">
        <v>235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37540542.600000001</v>
      </c>
      <c r="I68" s="53">
        <v>0</v>
      </c>
      <c r="J68" s="51">
        <f t="shared" si="12"/>
        <v>0</v>
      </c>
      <c r="K68" s="53">
        <v>0</v>
      </c>
      <c r="L68" s="53">
        <v>0</v>
      </c>
      <c r="M68" s="51">
        <v>0</v>
      </c>
      <c r="N68" s="66">
        <f t="shared" si="9"/>
        <v>37540542.600000001</v>
      </c>
      <c r="O68" s="66">
        <f t="shared" si="3"/>
        <v>37540542.600000001</v>
      </c>
    </row>
    <row r="69" spans="1:15" ht="94.5" x14ac:dyDescent="0.25">
      <c r="A69" s="44" t="s">
        <v>80</v>
      </c>
      <c r="B69" s="34" t="s">
        <v>234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7859595.1600000001</v>
      </c>
      <c r="I69" s="53">
        <v>0</v>
      </c>
      <c r="J69" s="51">
        <f t="shared" si="12"/>
        <v>0</v>
      </c>
      <c r="K69" s="53">
        <v>0</v>
      </c>
      <c r="L69" s="53">
        <v>-94883.67</v>
      </c>
      <c r="M69" s="51">
        <v>0</v>
      </c>
      <c r="N69" s="66">
        <f t="shared" si="9"/>
        <v>7764711.4900000002</v>
      </c>
      <c r="O69" s="66">
        <f t="shared" si="3"/>
        <v>7764711.4900000002</v>
      </c>
    </row>
    <row r="70" spans="1:15" ht="34.5" x14ac:dyDescent="0.25">
      <c r="A70" s="75" t="s">
        <v>76</v>
      </c>
      <c r="B70" s="69" t="s">
        <v>77</v>
      </c>
      <c r="C70" s="76">
        <f>SUM(C71,C84,C85,C86,C87,C88,C90,C89,C95)</f>
        <v>288387440.45000005</v>
      </c>
      <c r="D70" s="76">
        <f t="shared" ref="D70:M70" si="13">SUM(D71,D84,D85,D86,D87,D88,D90,D89,D95)</f>
        <v>2217677.4299999997</v>
      </c>
      <c r="E70" s="76">
        <f t="shared" si="13"/>
        <v>0</v>
      </c>
      <c r="F70" s="76">
        <f t="shared" si="13"/>
        <v>0</v>
      </c>
      <c r="G70" s="76">
        <f t="shared" si="13"/>
        <v>0</v>
      </c>
      <c r="H70" s="76">
        <f t="shared" si="13"/>
        <v>-3650057</v>
      </c>
      <c r="I70" s="76">
        <f t="shared" si="13"/>
        <v>-2703554</v>
      </c>
      <c r="J70" s="76">
        <f t="shared" si="13"/>
        <v>2703554</v>
      </c>
      <c r="K70" s="76">
        <f t="shared" si="13"/>
        <v>-2703554</v>
      </c>
      <c r="L70" s="76">
        <f t="shared" si="13"/>
        <v>-10014296.82</v>
      </c>
      <c r="M70" s="76">
        <f t="shared" si="13"/>
        <v>0</v>
      </c>
      <c r="N70" s="73">
        <f t="shared" si="9"/>
        <v>-14150230.390000001</v>
      </c>
      <c r="O70" s="73">
        <f t="shared" si="3"/>
        <v>274237210.06000006</v>
      </c>
    </row>
    <row r="71" spans="1:15" ht="69" x14ac:dyDescent="0.25">
      <c r="A71" s="75" t="s">
        <v>134</v>
      </c>
      <c r="B71" s="69" t="s">
        <v>135</v>
      </c>
      <c r="C71" s="76">
        <f>C72+C73+C74+C75+C76+C77+C78+C79+C80+C81+C7182+C83+C82</f>
        <v>274646582.45000005</v>
      </c>
      <c r="D71" s="76">
        <f t="shared" ref="D71:M71" si="14">D72+D73+D74+D75+D76+D77+D78+D79+D80+D81+D7182+D83+D82</f>
        <v>167349.43</v>
      </c>
      <c r="E71" s="76">
        <f t="shared" si="14"/>
        <v>0</v>
      </c>
      <c r="F71" s="76">
        <f t="shared" si="14"/>
        <v>0</v>
      </c>
      <c r="G71" s="76">
        <f t="shared" si="14"/>
        <v>0</v>
      </c>
      <c r="H71" s="76">
        <f t="shared" si="14"/>
        <v>-3914700</v>
      </c>
      <c r="I71" s="76">
        <f t="shared" si="14"/>
        <v>-2042699</v>
      </c>
      <c r="J71" s="76">
        <f t="shared" si="14"/>
        <v>2042699</v>
      </c>
      <c r="K71" s="76">
        <f t="shared" si="14"/>
        <v>-2042699</v>
      </c>
      <c r="L71" s="76">
        <f t="shared" si="14"/>
        <v>-6891285.8200000003</v>
      </c>
      <c r="M71" s="76">
        <f t="shared" si="14"/>
        <v>0</v>
      </c>
      <c r="N71" s="73">
        <f t="shared" si="9"/>
        <v>-12681335.390000001</v>
      </c>
      <c r="O71" s="73">
        <f t="shared" si="3"/>
        <v>261965247.06000006</v>
      </c>
    </row>
    <row r="72" spans="1:15" ht="78.75" x14ac:dyDescent="0.25">
      <c r="A72" s="26" t="s">
        <v>94</v>
      </c>
      <c r="B72" s="34" t="s">
        <v>185</v>
      </c>
      <c r="C72" s="51">
        <v>15714436.640000001</v>
      </c>
      <c r="D72" s="51">
        <v>-65818.02</v>
      </c>
      <c r="E72" s="52">
        <v>0</v>
      </c>
      <c r="F72" s="22">
        <v>0</v>
      </c>
      <c r="G72" s="17">
        <v>0</v>
      </c>
      <c r="H72" s="22">
        <v>-3914700</v>
      </c>
      <c r="I72" s="17">
        <v>0</v>
      </c>
      <c r="J72" s="17">
        <f>-I72</f>
        <v>0</v>
      </c>
      <c r="K72" s="17">
        <v>0</v>
      </c>
      <c r="L72" s="17">
        <v>0</v>
      </c>
      <c r="M72" s="53">
        <v>0</v>
      </c>
      <c r="N72" s="66">
        <f>SUM(D72:M72)</f>
        <v>-3980518.02</v>
      </c>
      <c r="O72" s="66">
        <f>C72+N72</f>
        <v>11733918.620000001</v>
      </c>
    </row>
    <row r="73" spans="1:15" ht="65.25" customHeight="1" x14ac:dyDescent="0.25">
      <c r="A73" s="26" t="s">
        <v>94</v>
      </c>
      <c r="B73" s="34" t="s">
        <v>146</v>
      </c>
      <c r="C73" s="51">
        <v>3103189</v>
      </c>
      <c r="D73" s="51">
        <v>-29188</v>
      </c>
      <c r="E73" s="52">
        <v>0</v>
      </c>
      <c r="F73" s="22">
        <v>0</v>
      </c>
      <c r="G73" s="22">
        <v>0</v>
      </c>
      <c r="H73" s="17">
        <v>0</v>
      </c>
      <c r="I73" s="17">
        <v>0</v>
      </c>
      <c r="J73" s="17">
        <f t="shared" ref="J73:J90" si="15">-I73</f>
        <v>0</v>
      </c>
      <c r="K73" s="17">
        <v>0</v>
      </c>
      <c r="L73" s="17">
        <v>0</v>
      </c>
      <c r="M73" s="53">
        <v>0</v>
      </c>
      <c r="N73" s="66">
        <f t="shared" si="9"/>
        <v>-29188</v>
      </c>
      <c r="O73" s="66">
        <f t="shared" si="3"/>
        <v>3074001</v>
      </c>
    </row>
    <row r="74" spans="1:15" ht="81.75" customHeight="1" x14ac:dyDescent="0.25">
      <c r="A74" s="26" t="s">
        <v>94</v>
      </c>
      <c r="B74" s="34" t="s">
        <v>186</v>
      </c>
      <c r="C74" s="51">
        <v>21673860.079999998</v>
      </c>
      <c r="D74" s="51">
        <v>0</v>
      </c>
      <c r="E74" s="52">
        <v>0</v>
      </c>
      <c r="F74" s="22">
        <v>0</v>
      </c>
      <c r="G74" s="17">
        <v>0</v>
      </c>
      <c r="H74" s="17">
        <v>0</v>
      </c>
      <c r="I74" s="22">
        <v>0</v>
      </c>
      <c r="J74" s="17">
        <f t="shared" si="15"/>
        <v>0</v>
      </c>
      <c r="K74" s="22">
        <v>0</v>
      </c>
      <c r="L74" s="22">
        <v>-6512347.9400000004</v>
      </c>
      <c r="M74" s="53">
        <v>0</v>
      </c>
      <c r="N74" s="66">
        <f t="shared" si="9"/>
        <v>-6512347.9400000004</v>
      </c>
      <c r="O74" s="66">
        <f t="shared" si="3"/>
        <v>15161512.139999997</v>
      </c>
    </row>
    <row r="75" spans="1:15" ht="94.5" x14ac:dyDescent="0.25">
      <c r="A75" s="26" t="s">
        <v>94</v>
      </c>
      <c r="B75" s="34" t="s">
        <v>187</v>
      </c>
      <c r="C75" s="51">
        <v>3240000</v>
      </c>
      <c r="D75" s="51">
        <v>0</v>
      </c>
      <c r="E75" s="52">
        <v>0</v>
      </c>
      <c r="F75" s="22">
        <v>0</v>
      </c>
      <c r="G75" s="22">
        <v>0</v>
      </c>
      <c r="H75" s="22">
        <v>0</v>
      </c>
      <c r="I75" s="17">
        <v>-2105400</v>
      </c>
      <c r="J75" s="17">
        <f t="shared" si="15"/>
        <v>2105400</v>
      </c>
      <c r="K75" s="17">
        <v>-2105400</v>
      </c>
      <c r="L75" s="17">
        <v>-65400</v>
      </c>
      <c r="M75" s="53">
        <v>0</v>
      </c>
      <c r="N75" s="66">
        <f t="shared" si="9"/>
        <v>-2170800</v>
      </c>
      <c r="O75" s="66">
        <f t="shared" si="3"/>
        <v>1069200</v>
      </c>
    </row>
    <row r="76" spans="1:15" ht="63" x14ac:dyDescent="0.25">
      <c r="A76" s="26" t="s">
        <v>94</v>
      </c>
      <c r="B76" s="34" t="s">
        <v>188</v>
      </c>
      <c r="C76" s="51">
        <v>1565815</v>
      </c>
      <c r="D76" s="51">
        <v>-14872</v>
      </c>
      <c r="E76" s="52">
        <v>0</v>
      </c>
      <c r="F76" s="22">
        <v>0</v>
      </c>
      <c r="G76" s="17">
        <v>0</v>
      </c>
      <c r="H76" s="22">
        <v>0</v>
      </c>
      <c r="I76" s="17">
        <v>0</v>
      </c>
      <c r="J76" s="17">
        <f t="shared" si="15"/>
        <v>0</v>
      </c>
      <c r="K76" s="17">
        <v>0</v>
      </c>
      <c r="L76" s="17">
        <v>0</v>
      </c>
      <c r="M76" s="53">
        <v>0</v>
      </c>
      <c r="N76" s="66">
        <f t="shared" si="9"/>
        <v>-14872</v>
      </c>
      <c r="O76" s="66">
        <f t="shared" si="3"/>
        <v>1550943</v>
      </c>
    </row>
    <row r="77" spans="1:15" ht="78.75" x14ac:dyDescent="0.25">
      <c r="A77" s="26" t="s">
        <v>134</v>
      </c>
      <c r="B77" s="34" t="s">
        <v>189</v>
      </c>
      <c r="C77" s="51">
        <v>84524397</v>
      </c>
      <c r="D77" s="51">
        <v>0</v>
      </c>
      <c r="E77" s="52">
        <v>0</v>
      </c>
      <c r="F77" s="22">
        <v>0</v>
      </c>
      <c r="G77" s="17">
        <v>0</v>
      </c>
      <c r="H77" s="22">
        <v>0</v>
      </c>
      <c r="I77" s="17">
        <v>-20012086</v>
      </c>
      <c r="J77" s="17">
        <f t="shared" si="15"/>
        <v>20012086</v>
      </c>
      <c r="K77" s="17">
        <v>-20012086</v>
      </c>
      <c r="L77" s="17">
        <v>0</v>
      </c>
      <c r="M77" s="53">
        <v>0</v>
      </c>
      <c r="N77" s="66">
        <f t="shared" si="9"/>
        <v>-20012086</v>
      </c>
      <c r="O77" s="66">
        <f t="shared" si="3"/>
        <v>64512311</v>
      </c>
    </row>
    <row r="78" spans="1:15" ht="110.25" x14ac:dyDescent="0.25">
      <c r="A78" s="26" t="s">
        <v>94</v>
      </c>
      <c r="B78" s="34" t="s">
        <v>190</v>
      </c>
      <c r="C78" s="51">
        <v>139284876</v>
      </c>
      <c r="D78" s="51">
        <v>0</v>
      </c>
      <c r="E78" s="52">
        <v>0</v>
      </c>
      <c r="F78" s="22">
        <v>0</v>
      </c>
      <c r="G78" s="17">
        <v>0</v>
      </c>
      <c r="H78" s="17">
        <v>0</v>
      </c>
      <c r="I78" s="17">
        <v>20074787</v>
      </c>
      <c r="J78" s="17">
        <f t="shared" si="15"/>
        <v>-20074787</v>
      </c>
      <c r="K78" s="17">
        <v>20074787</v>
      </c>
      <c r="L78" s="17">
        <v>0</v>
      </c>
      <c r="M78" s="53">
        <v>0</v>
      </c>
      <c r="N78" s="66">
        <f t="shared" si="9"/>
        <v>20074787</v>
      </c>
      <c r="O78" s="66">
        <f t="shared" si="3"/>
        <v>159359663</v>
      </c>
    </row>
    <row r="79" spans="1:15" ht="78.75" x14ac:dyDescent="0.25">
      <c r="A79" s="26" t="s">
        <v>94</v>
      </c>
      <c r="B79" s="34" t="s">
        <v>191</v>
      </c>
      <c r="C79" s="51">
        <v>3614200</v>
      </c>
      <c r="D79" s="51">
        <v>0</v>
      </c>
      <c r="E79" s="52">
        <v>0</v>
      </c>
      <c r="F79" s="22">
        <v>0</v>
      </c>
      <c r="G79" s="17">
        <v>0</v>
      </c>
      <c r="H79" s="22">
        <v>0</v>
      </c>
      <c r="I79" s="17">
        <v>0</v>
      </c>
      <c r="J79" s="17">
        <f t="shared" si="15"/>
        <v>0</v>
      </c>
      <c r="K79" s="17">
        <v>0</v>
      </c>
      <c r="L79" s="17">
        <v>-289000</v>
      </c>
      <c r="M79" s="53">
        <v>0</v>
      </c>
      <c r="N79" s="66">
        <f t="shared" si="9"/>
        <v>-289000</v>
      </c>
      <c r="O79" s="66">
        <f t="shared" si="3"/>
        <v>3325200</v>
      </c>
    </row>
    <row r="80" spans="1:15" ht="63" x14ac:dyDescent="0.25">
      <c r="A80" s="26" t="s">
        <v>134</v>
      </c>
      <c r="B80" s="34" t="s">
        <v>192</v>
      </c>
      <c r="C80" s="51">
        <v>1223563.8</v>
      </c>
      <c r="D80" s="51">
        <v>0</v>
      </c>
      <c r="E80" s="52">
        <v>0</v>
      </c>
      <c r="F80" s="22">
        <v>0</v>
      </c>
      <c r="G80" s="17">
        <v>0</v>
      </c>
      <c r="H80" s="17">
        <v>0</v>
      </c>
      <c r="I80" s="17">
        <v>0</v>
      </c>
      <c r="J80" s="17">
        <f t="shared" si="15"/>
        <v>0</v>
      </c>
      <c r="K80" s="17">
        <v>0</v>
      </c>
      <c r="L80" s="17">
        <v>-24537.88</v>
      </c>
      <c r="M80" s="53">
        <v>0</v>
      </c>
      <c r="N80" s="66">
        <f t="shared" si="9"/>
        <v>-24537.88</v>
      </c>
      <c r="O80" s="66">
        <f t="shared" si="3"/>
        <v>1199025.9200000002</v>
      </c>
    </row>
    <row r="81" spans="1:15" ht="95.25" customHeight="1" x14ac:dyDescent="0.25">
      <c r="A81" s="26" t="s">
        <v>94</v>
      </c>
      <c r="B81" s="34" t="s">
        <v>193</v>
      </c>
      <c r="C81" s="51">
        <v>214805.74</v>
      </c>
      <c r="D81" s="51">
        <v>0</v>
      </c>
      <c r="E81" s="52">
        <v>0</v>
      </c>
      <c r="F81" s="22">
        <v>0</v>
      </c>
      <c r="G81" s="17">
        <v>0</v>
      </c>
      <c r="H81" s="17">
        <v>0</v>
      </c>
      <c r="I81" s="17">
        <v>0</v>
      </c>
      <c r="J81" s="17">
        <f t="shared" si="15"/>
        <v>0</v>
      </c>
      <c r="K81" s="17">
        <v>0</v>
      </c>
      <c r="L81" s="17">
        <v>0</v>
      </c>
      <c r="M81" s="53">
        <v>0</v>
      </c>
      <c r="N81" s="66">
        <f t="shared" si="9"/>
        <v>0</v>
      </c>
      <c r="O81" s="66">
        <f t="shared" si="3"/>
        <v>214805.74</v>
      </c>
    </row>
    <row r="82" spans="1:15" ht="78.75" x14ac:dyDescent="0.25">
      <c r="A82" s="26" t="s">
        <v>94</v>
      </c>
      <c r="B82" s="34" t="s">
        <v>194</v>
      </c>
      <c r="C82" s="51">
        <v>484052.11</v>
      </c>
      <c r="D82" s="51">
        <v>277227.45</v>
      </c>
      <c r="E82" s="52">
        <v>0</v>
      </c>
      <c r="F82" s="22">
        <v>0</v>
      </c>
      <c r="G82" s="17">
        <v>0</v>
      </c>
      <c r="H82" s="17">
        <v>0</v>
      </c>
      <c r="I82" s="17">
        <v>0</v>
      </c>
      <c r="J82" s="17">
        <f t="shared" si="15"/>
        <v>0</v>
      </c>
      <c r="K82" s="17">
        <v>0</v>
      </c>
      <c r="L82" s="17">
        <v>0</v>
      </c>
      <c r="M82" s="53">
        <v>0</v>
      </c>
      <c r="N82" s="66">
        <f t="shared" si="9"/>
        <v>277227.45</v>
      </c>
      <c r="O82" s="66">
        <f t="shared" si="3"/>
        <v>761279.56</v>
      </c>
    </row>
    <row r="83" spans="1:15" ht="79.5" customHeight="1" x14ac:dyDescent="0.25">
      <c r="A83" s="26" t="s">
        <v>134</v>
      </c>
      <c r="B83" s="34" t="s">
        <v>195</v>
      </c>
      <c r="C83" s="51">
        <v>3387.08</v>
      </c>
      <c r="D83" s="51">
        <v>0</v>
      </c>
      <c r="E83" s="52">
        <v>0</v>
      </c>
      <c r="F83" s="22">
        <v>0</v>
      </c>
      <c r="G83" s="17">
        <v>0</v>
      </c>
      <c r="H83" s="17">
        <v>0</v>
      </c>
      <c r="I83" s="17">
        <v>0</v>
      </c>
      <c r="J83" s="17">
        <f t="shared" si="15"/>
        <v>0</v>
      </c>
      <c r="K83" s="17">
        <v>0</v>
      </c>
      <c r="L83" s="17">
        <v>0</v>
      </c>
      <c r="M83" s="53">
        <v>0</v>
      </c>
      <c r="N83" s="66">
        <f t="shared" si="9"/>
        <v>0</v>
      </c>
      <c r="O83" s="66">
        <f t="shared" si="3"/>
        <v>3387.08</v>
      </c>
    </row>
    <row r="84" spans="1:15" ht="81" customHeight="1" x14ac:dyDescent="0.25">
      <c r="A84" s="26" t="s">
        <v>145</v>
      </c>
      <c r="B84" s="31" t="s">
        <v>196</v>
      </c>
      <c r="C84" s="51">
        <v>1768044</v>
      </c>
      <c r="D84" s="51">
        <v>0</v>
      </c>
      <c r="E84" s="52">
        <v>0</v>
      </c>
      <c r="F84" s="22">
        <v>0</v>
      </c>
      <c r="G84" s="22">
        <v>0</v>
      </c>
      <c r="H84" s="17">
        <v>0</v>
      </c>
      <c r="I84" s="17">
        <v>-662816</v>
      </c>
      <c r="J84" s="17">
        <f t="shared" si="15"/>
        <v>662816</v>
      </c>
      <c r="K84" s="17">
        <v>-662816</v>
      </c>
      <c r="L84" s="17">
        <v>-102961</v>
      </c>
      <c r="M84" s="53">
        <v>0</v>
      </c>
      <c r="N84" s="66">
        <f t="shared" si="9"/>
        <v>-765777</v>
      </c>
      <c r="O84" s="66">
        <f t="shared" si="3"/>
        <v>1002267</v>
      </c>
    </row>
    <row r="85" spans="1:15" ht="69.75" customHeight="1" x14ac:dyDescent="0.25">
      <c r="A85" s="26" t="s">
        <v>140</v>
      </c>
      <c r="B85" s="34" t="s">
        <v>141</v>
      </c>
      <c r="C85" s="51">
        <v>1924</v>
      </c>
      <c r="D85" s="51">
        <v>5108</v>
      </c>
      <c r="E85" s="52">
        <v>0</v>
      </c>
      <c r="F85" s="22">
        <v>0</v>
      </c>
      <c r="G85" s="17">
        <v>0</v>
      </c>
      <c r="H85" s="17">
        <v>0</v>
      </c>
      <c r="I85" s="17">
        <v>0</v>
      </c>
      <c r="J85" s="17">
        <f t="shared" si="15"/>
        <v>0</v>
      </c>
      <c r="K85" s="17">
        <v>0</v>
      </c>
      <c r="L85" s="17">
        <v>0</v>
      </c>
      <c r="M85" s="53">
        <v>0</v>
      </c>
      <c r="N85" s="66">
        <f t="shared" si="9"/>
        <v>5108</v>
      </c>
      <c r="O85" s="66">
        <f t="shared" si="3"/>
        <v>7032</v>
      </c>
    </row>
    <row r="86" spans="1:15" ht="78.75" x14ac:dyDescent="0.25">
      <c r="A86" s="26" t="s">
        <v>97</v>
      </c>
      <c r="B86" s="34" t="s">
        <v>98</v>
      </c>
      <c r="C86" s="51">
        <v>5693300</v>
      </c>
      <c r="D86" s="51">
        <v>1762900</v>
      </c>
      <c r="E86" s="52">
        <v>0</v>
      </c>
      <c r="F86" s="22">
        <v>0</v>
      </c>
      <c r="G86" s="17">
        <v>0</v>
      </c>
      <c r="H86" s="17">
        <v>0</v>
      </c>
      <c r="I86" s="17">
        <v>0</v>
      </c>
      <c r="J86" s="17">
        <f t="shared" si="15"/>
        <v>0</v>
      </c>
      <c r="K86" s="17">
        <v>0</v>
      </c>
      <c r="L86" s="17">
        <v>-3020050</v>
      </c>
      <c r="M86" s="53">
        <v>0</v>
      </c>
      <c r="N86" s="66">
        <f t="shared" si="9"/>
        <v>-1257150</v>
      </c>
      <c r="O86" s="66">
        <f t="shared" si="3"/>
        <v>4436150</v>
      </c>
    </row>
    <row r="87" spans="1:15" ht="51" customHeight="1" x14ac:dyDescent="0.25">
      <c r="A87" s="26" t="s">
        <v>81</v>
      </c>
      <c r="B87" s="34" t="s">
        <v>82</v>
      </c>
      <c r="C87" s="51">
        <v>1083410</v>
      </c>
      <c r="D87" s="51">
        <v>351680</v>
      </c>
      <c r="E87" s="52">
        <v>0</v>
      </c>
      <c r="F87" s="22">
        <v>0</v>
      </c>
      <c r="G87" s="17">
        <v>0</v>
      </c>
      <c r="H87" s="17">
        <v>0</v>
      </c>
      <c r="I87" s="17">
        <v>1961</v>
      </c>
      <c r="J87" s="17">
        <f t="shared" si="15"/>
        <v>-1961</v>
      </c>
      <c r="K87" s="17">
        <v>1961</v>
      </c>
      <c r="L87" s="17">
        <v>0</v>
      </c>
      <c r="M87" s="53">
        <v>0</v>
      </c>
      <c r="N87" s="66">
        <f t="shared" si="9"/>
        <v>353641</v>
      </c>
      <c r="O87" s="66">
        <f t="shared" si="3"/>
        <v>1437051</v>
      </c>
    </row>
    <row r="88" spans="1:15" ht="50.25" customHeight="1" x14ac:dyDescent="0.25">
      <c r="A88" s="26" t="s">
        <v>96</v>
      </c>
      <c r="B88" s="34" t="s">
        <v>197</v>
      </c>
      <c r="C88" s="51">
        <v>1266602</v>
      </c>
      <c r="D88" s="51">
        <v>-33645</v>
      </c>
      <c r="E88" s="52">
        <v>0</v>
      </c>
      <c r="F88" s="22">
        <v>0</v>
      </c>
      <c r="G88" s="17">
        <v>0</v>
      </c>
      <c r="H88" s="17">
        <v>0</v>
      </c>
      <c r="I88" s="17">
        <v>0</v>
      </c>
      <c r="J88" s="17">
        <f t="shared" si="15"/>
        <v>0</v>
      </c>
      <c r="K88" s="17">
        <v>0</v>
      </c>
      <c r="L88" s="17">
        <v>0</v>
      </c>
      <c r="M88" s="53">
        <v>0</v>
      </c>
      <c r="N88" s="66">
        <f t="shared" si="9"/>
        <v>-33645</v>
      </c>
      <c r="O88" s="66">
        <f t="shared" ref="O88:O91" si="16">C88+N88</f>
        <v>1232957</v>
      </c>
    </row>
    <row r="89" spans="1:15" ht="37.5" customHeight="1" x14ac:dyDescent="0.25">
      <c r="A89" s="26" t="s">
        <v>199</v>
      </c>
      <c r="B89" s="34" t="s">
        <v>200</v>
      </c>
      <c r="C89" s="51">
        <v>3445645</v>
      </c>
      <c r="D89" s="51">
        <v>-32704</v>
      </c>
      <c r="E89" s="52">
        <v>0</v>
      </c>
      <c r="F89" s="22">
        <v>0</v>
      </c>
      <c r="G89" s="17">
        <v>0</v>
      </c>
      <c r="H89" s="17">
        <v>0</v>
      </c>
      <c r="I89" s="17">
        <v>0</v>
      </c>
      <c r="J89" s="17">
        <f t="shared" si="15"/>
        <v>0</v>
      </c>
      <c r="K89" s="17">
        <v>0</v>
      </c>
      <c r="L89" s="17">
        <v>0</v>
      </c>
      <c r="M89" s="53">
        <v>0</v>
      </c>
      <c r="N89" s="66">
        <f t="shared" si="9"/>
        <v>-32704</v>
      </c>
      <c r="O89" s="66">
        <f t="shared" si="16"/>
        <v>3412941</v>
      </c>
    </row>
    <row r="90" spans="1:15" ht="31.5" customHeight="1" x14ac:dyDescent="0.25">
      <c r="A90" s="26" t="s">
        <v>147</v>
      </c>
      <c r="B90" s="34" t="s">
        <v>198</v>
      </c>
      <c r="C90" s="51">
        <v>336933</v>
      </c>
      <c r="D90" s="51">
        <v>-3011</v>
      </c>
      <c r="E90" s="52">
        <v>0</v>
      </c>
      <c r="F90" s="22">
        <v>0</v>
      </c>
      <c r="G90" s="17">
        <v>0</v>
      </c>
      <c r="H90" s="22">
        <v>264643</v>
      </c>
      <c r="I90" s="17">
        <v>0</v>
      </c>
      <c r="J90" s="17">
        <f t="shared" si="15"/>
        <v>0</v>
      </c>
      <c r="K90" s="17">
        <v>0</v>
      </c>
      <c r="L90" s="17">
        <v>0</v>
      </c>
      <c r="M90" s="53">
        <v>0</v>
      </c>
      <c r="N90" s="66">
        <f t="shared" si="9"/>
        <v>261632</v>
      </c>
      <c r="O90" s="66">
        <f t="shared" si="16"/>
        <v>598565</v>
      </c>
    </row>
    <row r="91" spans="1:15" ht="16.5" x14ac:dyDescent="0.25">
      <c r="A91" s="12" t="s">
        <v>92</v>
      </c>
      <c r="B91" s="36" t="s">
        <v>137</v>
      </c>
      <c r="C91" s="50">
        <f>SUM(C92:C94)</f>
        <v>25763240.100000001</v>
      </c>
      <c r="D91" s="50">
        <f t="shared" ref="D91:L91" si="17">SUM(D92:D94)</f>
        <v>-5254897.62</v>
      </c>
      <c r="E91" s="50">
        <f t="shared" si="17"/>
        <v>0</v>
      </c>
      <c r="F91" s="39">
        <f t="shared" si="17"/>
        <v>-1466164.08</v>
      </c>
      <c r="G91" s="39">
        <f t="shared" si="17"/>
        <v>0</v>
      </c>
      <c r="H91" s="39">
        <f t="shared" si="17"/>
        <v>2667600</v>
      </c>
      <c r="I91" s="39">
        <f t="shared" si="17"/>
        <v>4924584</v>
      </c>
      <c r="J91" s="39">
        <f t="shared" si="17"/>
        <v>-4924584</v>
      </c>
      <c r="K91" s="39">
        <f t="shared" si="17"/>
        <v>4924584</v>
      </c>
      <c r="L91" s="39">
        <f t="shared" si="17"/>
        <v>-3216132</v>
      </c>
      <c r="M91" s="53">
        <v>0</v>
      </c>
      <c r="N91" s="66">
        <f t="shared" si="9"/>
        <v>-2345009.7000000002</v>
      </c>
      <c r="O91" s="66">
        <f t="shared" si="16"/>
        <v>23418230.400000002</v>
      </c>
    </row>
    <row r="92" spans="1:15" ht="80.25" customHeight="1" x14ac:dyDescent="0.25">
      <c r="A92" s="32" t="s">
        <v>143</v>
      </c>
      <c r="B92" s="33" t="s">
        <v>144</v>
      </c>
      <c r="C92" s="51">
        <v>2597240.1</v>
      </c>
      <c r="D92" s="51">
        <v>-60097.62</v>
      </c>
      <c r="E92" s="52">
        <v>0</v>
      </c>
      <c r="F92" s="17">
        <v>-1466164.08</v>
      </c>
      <c r="G92" s="17">
        <v>0</v>
      </c>
      <c r="H92" s="17">
        <v>0</v>
      </c>
      <c r="I92" s="17">
        <v>0</v>
      </c>
      <c r="J92" s="17">
        <f>-I92</f>
        <v>0</v>
      </c>
      <c r="K92" s="17">
        <v>0</v>
      </c>
      <c r="L92" s="17">
        <v>-23436</v>
      </c>
      <c r="M92" s="53">
        <v>0</v>
      </c>
      <c r="N92" s="66">
        <f>SUM(D92:M92)</f>
        <v>-1549697.7000000002</v>
      </c>
      <c r="O92" s="66">
        <f t="shared" ref="O92:O97" si="18">C92+N92</f>
        <v>1047542.3999999999</v>
      </c>
    </row>
    <row r="93" spans="1:15" ht="121.5" customHeight="1" x14ac:dyDescent="0.25">
      <c r="A93" s="32" t="s">
        <v>163</v>
      </c>
      <c r="B93" s="33" t="s">
        <v>233</v>
      </c>
      <c r="C93" s="51">
        <v>0</v>
      </c>
      <c r="D93" s="51">
        <v>0</v>
      </c>
      <c r="E93" s="52">
        <v>0</v>
      </c>
      <c r="F93" s="17">
        <v>0</v>
      </c>
      <c r="G93" s="17">
        <v>0</v>
      </c>
      <c r="H93" s="17">
        <v>0</v>
      </c>
      <c r="I93" s="17">
        <v>187488</v>
      </c>
      <c r="J93" s="17">
        <f t="shared" ref="J93:J94" si="19">-I93</f>
        <v>-187488</v>
      </c>
      <c r="K93" s="17">
        <v>187488</v>
      </c>
      <c r="L93" s="17">
        <v>0</v>
      </c>
      <c r="M93" s="53">
        <v>0</v>
      </c>
      <c r="N93" s="66">
        <f>SUM(D93:M93)</f>
        <v>187488</v>
      </c>
      <c r="O93" s="66">
        <f t="shared" si="18"/>
        <v>187488</v>
      </c>
    </row>
    <row r="94" spans="1:15" ht="132" customHeight="1" x14ac:dyDescent="0.25">
      <c r="A94" s="32" t="s">
        <v>163</v>
      </c>
      <c r="B94" s="33" t="s">
        <v>164</v>
      </c>
      <c r="C94" s="51">
        <v>23166000</v>
      </c>
      <c r="D94" s="51">
        <v>-5194800</v>
      </c>
      <c r="E94" s="52">
        <v>0</v>
      </c>
      <c r="F94" s="22">
        <v>0</v>
      </c>
      <c r="G94" s="22">
        <v>0</v>
      </c>
      <c r="H94" s="17">
        <v>2667600</v>
      </c>
      <c r="I94" s="17">
        <v>4737096</v>
      </c>
      <c r="J94" s="17">
        <f t="shared" si="19"/>
        <v>-4737096</v>
      </c>
      <c r="K94" s="17">
        <v>4737096</v>
      </c>
      <c r="L94" s="17">
        <v>-3192696</v>
      </c>
      <c r="M94" s="53">
        <v>0</v>
      </c>
      <c r="N94" s="66">
        <f>SUM(D94:M94)</f>
        <v>-982800</v>
      </c>
      <c r="O94" s="66">
        <f t="shared" si="18"/>
        <v>22183200</v>
      </c>
    </row>
    <row r="95" spans="1:15" s="6" customFormat="1" ht="33" x14ac:dyDescent="0.2">
      <c r="A95" s="77" t="s">
        <v>136</v>
      </c>
      <c r="B95" s="78" t="s">
        <v>95</v>
      </c>
      <c r="C95" s="79">
        <f>C96+C97</f>
        <v>145000</v>
      </c>
      <c r="D95" s="79">
        <f t="shared" ref="D95:M95" si="20">D96+D97</f>
        <v>0</v>
      </c>
      <c r="E95" s="79">
        <f t="shared" si="20"/>
        <v>0</v>
      </c>
      <c r="F95" s="79">
        <f t="shared" si="20"/>
        <v>0</v>
      </c>
      <c r="G95" s="79">
        <f t="shared" si="20"/>
        <v>0</v>
      </c>
      <c r="H95" s="79">
        <f t="shared" si="20"/>
        <v>0</v>
      </c>
      <c r="I95" s="79">
        <f t="shared" si="20"/>
        <v>0</v>
      </c>
      <c r="J95" s="79">
        <f t="shared" si="20"/>
        <v>0</v>
      </c>
      <c r="K95" s="79">
        <f t="shared" si="20"/>
        <v>0</v>
      </c>
      <c r="L95" s="79">
        <f t="shared" si="20"/>
        <v>0</v>
      </c>
      <c r="M95" s="79">
        <f t="shared" si="20"/>
        <v>0</v>
      </c>
      <c r="N95" s="73">
        <f>SUM(D95:M95)</f>
        <v>0</v>
      </c>
      <c r="O95" s="73">
        <f t="shared" si="18"/>
        <v>145000</v>
      </c>
    </row>
    <row r="96" spans="1:15" ht="33.75" customHeight="1" x14ac:dyDescent="0.25">
      <c r="A96" s="32" t="s">
        <v>148</v>
      </c>
      <c r="B96" s="33" t="s">
        <v>209</v>
      </c>
      <c r="C96" s="37">
        <v>45000</v>
      </c>
      <c r="D96" s="37">
        <v>0</v>
      </c>
      <c r="E96" s="14">
        <v>0</v>
      </c>
      <c r="F96" s="14">
        <v>0</v>
      </c>
      <c r="G96" s="56">
        <v>0</v>
      </c>
      <c r="H96" s="56">
        <v>0</v>
      </c>
      <c r="I96" s="56">
        <v>0</v>
      </c>
      <c r="J96" s="56">
        <f>-I96</f>
        <v>0</v>
      </c>
      <c r="K96" s="56">
        <v>0</v>
      </c>
      <c r="L96" s="56">
        <v>0</v>
      </c>
      <c r="M96" s="56">
        <v>0</v>
      </c>
      <c r="N96" s="66">
        <f t="shared" si="9"/>
        <v>0</v>
      </c>
      <c r="O96" s="66">
        <f t="shared" si="18"/>
        <v>45000</v>
      </c>
    </row>
    <row r="97" spans="1:15" ht="51.75" customHeight="1" x14ac:dyDescent="0.25">
      <c r="A97" s="32" t="s">
        <v>162</v>
      </c>
      <c r="B97" s="33" t="s">
        <v>142</v>
      </c>
      <c r="C97" s="14">
        <v>100000</v>
      </c>
      <c r="D97" s="14">
        <v>0</v>
      </c>
      <c r="E97" s="14">
        <v>0</v>
      </c>
      <c r="F97" s="14">
        <v>0</v>
      </c>
      <c r="G97" s="56">
        <v>0</v>
      </c>
      <c r="H97" s="56">
        <v>0</v>
      </c>
      <c r="I97" s="56">
        <v>0</v>
      </c>
      <c r="J97" s="56">
        <f>-I97</f>
        <v>0</v>
      </c>
      <c r="K97" s="56">
        <v>0</v>
      </c>
      <c r="L97" s="56">
        <v>0</v>
      </c>
      <c r="M97" s="56">
        <v>0</v>
      </c>
      <c r="N97" s="66">
        <f t="shared" si="9"/>
        <v>0</v>
      </c>
      <c r="O97" s="66">
        <f t="shared" si="18"/>
        <v>100000</v>
      </c>
    </row>
    <row r="98" spans="1:15" ht="15.75" x14ac:dyDescent="0.25">
      <c r="A98" s="80"/>
      <c r="B98" s="71" t="s">
        <v>7</v>
      </c>
      <c r="C98" s="81">
        <f>C22+C44</f>
        <v>775067021.07000005</v>
      </c>
      <c r="D98" s="81">
        <f t="shared" ref="D98:M98" si="21">D22+D44</f>
        <v>34006743.969999999</v>
      </c>
      <c r="E98" s="81">
        <f t="shared" si="21"/>
        <v>-7184082.4199999981</v>
      </c>
      <c r="F98" s="81">
        <f t="shared" si="21"/>
        <v>15937535.92</v>
      </c>
      <c r="G98" s="81">
        <f t="shared" si="21"/>
        <v>6300000</v>
      </c>
      <c r="H98" s="81">
        <f t="shared" si="21"/>
        <v>53127646.040000007</v>
      </c>
      <c r="I98" s="81">
        <f t="shared" si="21"/>
        <v>20718437.239999998</v>
      </c>
      <c r="J98" s="81">
        <f t="shared" si="21"/>
        <v>-20718437.239999998</v>
      </c>
      <c r="K98" s="81">
        <f t="shared" si="21"/>
        <v>38147213.700000003</v>
      </c>
      <c r="L98" s="81">
        <f t="shared" si="21"/>
        <v>-2808852.3600000008</v>
      </c>
      <c r="M98" s="81">
        <f t="shared" si="21"/>
        <v>0</v>
      </c>
      <c r="N98" s="82">
        <f>N22+N44</f>
        <v>137526204.85000002</v>
      </c>
      <c r="O98" s="82">
        <f t="shared" ref="O98" si="22">O22+O44</f>
        <v>912593225.92000008</v>
      </c>
    </row>
    <row r="99" spans="1:15" ht="18.75" x14ac:dyDescent="0.25">
      <c r="A99" s="89" t="s">
        <v>8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</row>
    <row r="100" spans="1:15" ht="15.75" x14ac:dyDescent="0.25">
      <c r="A100" s="83" t="s">
        <v>48</v>
      </c>
      <c r="B100" s="71" t="s">
        <v>9</v>
      </c>
      <c r="C100" s="72">
        <f>SUM(C101:C108)</f>
        <v>135113222.00999999</v>
      </c>
      <c r="D100" s="72">
        <f t="shared" ref="D100:M100" si="23">SUM(D101:D108)</f>
        <v>1387317.96</v>
      </c>
      <c r="E100" s="72">
        <f t="shared" si="23"/>
        <v>691000</v>
      </c>
      <c r="F100" s="72">
        <f t="shared" si="23"/>
        <v>4473867.74</v>
      </c>
      <c r="G100" s="72">
        <f t="shared" si="23"/>
        <v>-620467.01999999979</v>
      </c>
      <c r="H100" s="72">
        <f t="shared" si="23"/>
        <v>5001449.6399999997</v>
      </c>
      <c r="I100" s="72">
        <f t="shared" si="23"/>
        <v>2301201.0299999998</v>
      </c>
      <c r="J100" s="72">
        <f t="shared" si="23"/>
        <v>-2301201.0299999998</v>
      </c>
      <c r="K100" s="72">
        <f t="shared" si="23"/>
        <v>8580727.8000000007</v>
      </c>
      <c r="L100" s="72">
        <f t="shared" si="23"/>
        <v>7055026.0600000005</v>
      </c>
      <c r="M100" s="72">
        <f t="shared" si="23"/>
        <v>-289783.48</v>
      </c>
      <c r="N100" s="73">
        <f t="shared" ref="N100:N109" si="24">SUM(D100:M100)</f>
        <v>26279138.699999999</v>
      </c>
      <c r="O100" s="73">
        <f t="shared" ref="O100:O110" si="25">C100+N100</f>
        <v>161392360.70999998</v>
      </c>
    </row>
    <row r="101" spans="1:15" ht="47.25" x14ac:dyDescent="0.25">
      <c r="A101" s="4" t="s">
        <v>49</v>
      </c>
      <c r="B101" s="13" t="s">
        <v>10</v>
      </c>
      <c r="C101" s="28">
        <v>3176880</v>
      </c>
      <c r="D101" s="28">
        <v>0</v>
      </c>
      <c r="E101" s="2">
        <v>0</v>
      </c>
      <c r="F101" s="2">
        <v>0</v>
      </c>
      <c r="G101" s="2">
        <v>0</v>
      </c>
      <c r="H101" s="2">
        <v>0</v>
      </c>
      <c r="I101" s="2">
        <v>630860</v>
      </c>
      <c r="J101" s="2">
        <v>-630860</v>
      </c>
      <c r="K101" s="2">
        <v>796794</v>
      </c>
      <c r="L101" s="2">
        <v>149658.39000000001</v>
      </c>
      <c r="M101" s="2">
        <v>0</v>
      </c>
      <c r="N101" s="66">
        <f t="shared" si="24"/>
        <v>946452.39</v>
      </c>
      <c r="O101" s="62">
        <f t="shared" ref="O101:O108" si="26">C101+N101</f>
        <v>4123332.39</v>
      </c>
    </row>
    <row r="102" spans="1:15" ht="63" x14ac:dyDescent="0.25">
      <c r="A102" s="4" t="s">
        <v>50</v>
      </c>
      <c r="B102" s="13" t="s">
        <v>11</v>
      </c>
      <c r="C102" s="28">
        <v>3049932</v>
      </c>
      <c r="D102" s="15">
        <v>0</v>
      </c>
      <c r="E102" s="2">
        <v>0</v>
      </c>
      <c r="F102" s="2">
        <v>0</v>
      </c>
      <c r="G102" s="2">
        <v>0</v>
      </c>
      <c r="H102" s="2">
        <v>0</v>
      </c>
      <c r="I102" s="2">
        <v>26950</v>
      </c>
      <c r="J102" s="2">
        <v>-26950</v>
      </c>
      <c r="K102" s="2">
        <v>-15650</v>
      </c>
      <c r="L102" s="2">
        <v>67006.81</v>
      </c>
      <c r="M102" s="2">
        <v>0</v>
      </c>
      <c r="N102" s="66">
        <f t="shared" si="24"/>
        <v>51356.81</v>
      </c>
      <c r="O102" s="62">
        <f t="shared" si="26"/>
        <v>3101288.81</v>
      </c>
    </row>
    <row r="103" spans="1:15" ht="78.75" x14ac:dyDescent="0.25">
      <c r="A103" s="4" t="s">
        <v>51</v>
      </c>
      <c r="B103" s="13" t="s">
        <v>12</v>
      </c>
      <c r="C103" s="28">
        <v>37491200</v>
      </c>
      <c r="D103" s="15">
        <v>116602.74</v>
      </c>
      <c r="E103" s="2">
        <v>64000</v>
      </c>
      <c r="F103" s="2">
        <v>762667</v>
      </c>
      <c r="G103" s="2">
        <v>-964076.82</v>
      </c>
      <c r="H103" s="2">
        <v>1004544.24</v>
      </c>
      <c r="I103" s="2">
        <v>789505</v>
      </c>
      <c r="J103" s="2">
        <v>-789505</v>
      </c>
      <c r="K103" s="2">
        <v>1366805</v>
      </c>
      <c r="L103" s="2">
        <v>5768589.9000000004</v>
      </c>
      <c r="M103" s="2">
        <f>-270061.87-136025.55-9800</f>
        <v>-415887.42</v>
      </c>
      <c r="N103" s="66">
        <f t="shared" si="24"/>
        <v>7703244.6400000006</v>
      </c>
      <c r="O103" s="62">
        <f t="shared" si="26"/>
        <v>45194444.640000001</v>
      </c>
    </row>
    <row r="104" spans="1:15" ht="15.75" x14ac:dyDescent="0.25">
      <c r="A104" s="4" t="s">
        <v>52</v>
      </c>
      <c r="B104" s="13" t="s">
        <v>13</v>
      </c>
      <c r="C104" s="28">
        <v>1924</v>
      </c>
      <c r="D104" s="15">
        <v>5108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66">
        <f t="shared" si="24"/>
        <v>5108</v>
      </c>
      <c r="O104" s="62">
        <f t="shared" si="26"/>
        <v>7032</v>
      </c>
    </row>
    <row r="105" spans="1:15" ht="63" x14ac:dyDescent="0.25">
      <c r="A105" s="4" t="s">
        <v>53</v>
      </c>
      <c r="B105" s="13" t="s">
        <v>14</v>
      </c>
      <c r="C105" s="28">
        <v>14549149</v>
      </c>
      <c r="D105" s="2">
        <v>0</v>
      </c>
      <c r="E105" s="2">
        <v>0</v>
      </c>
      <c r="F105" s="2">
        <v>473019.07</v>
      </c>
      <c r="G105" s="2">
        <v>-600000</v>
      </c>
      <c r="H105" s="2">
        <v>0</v>
      </c>
      <c r="I105" s="2">
        <v>170280</v>
      </c>
      <c r="J105" s="2">
        <v>-170280</v>
      </c>
      <c r="K105" s="2">
        <v>19920</v>
      </c>
      <c r="L105" s="2">
        <v>-26140.33</v>
      </c>
      <c r="M105" s="2">
        <f>-85526.61+11627.4+49059.96</f>
        <v>-24839.250000000007</v>
      </c>
      <c r="N105" s="66">
        <f t="shared" si="24"/>
        <v>-158040.51</v>
      </c>
      <c r="O105" s="62">
        <f t="shared" si="26"/>
        <v>14391108.49</v>
      </c>
    </row>
    <row r="106" spans="1:15" ht="15.75" x14ac:dyDescent="0.25">
      <c r="A106" s="4" t="s">
        <v>138</v>
      </c>
      <c r="B106" s="13" t="s">
        <v>139</v>
      </c>
      <c r="C106" s="28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f>-100351.57+87912.04+30039.57-1635-245841.51-195070+58.41</f>
        <v>-424888.06000000006</v>
      </c>
      <c r="N106" s="66">
        <f t="shared" si="24"/>
        <v>-424888.06000000006</v>
      </c>
      <c r="O106" s="67">
        <f t="shared" si="26"/>
        <v>-424888.06000000006</v>
      </c>
    </row>
    <row r="107" spans="1:15" ht="15.75" x14ac:dyDescent="0.25">
      <c r="A107" s="4" t="s">
        <v>54</v>
      </c>
      <c r="B107" s="1" t="s">
        <v>15</v>
      </c>
      <c r="C107" s="28">
        <v>1050000</v>
      </c>
      <c r="D107" s="2">
        <v>0</v>
      </c>
      <c r="E107" s="2">
        <v>0</v>
      </c>
      <c r="F107" s="2">
        <v>-300000</v>
      </c>
      <c r="G107" s="2">
        <v>150000</v>
      </c>
      <c r="H107" s="2">
        <v>-325467.59999999998</v>
      </c>
      <c r="I107" s="2">
        <v>114197.92</v>
      </c>
      <c r="J107" s="2">
        <v>-114197.92</v>
      </c>
      <c r="K107" s="2">
        <v>814197.92</v>
      </c>
      <c r="L107" s="2">
        <v>-354000</v>
      </c>
      <c r="M107" s="2">
        <v>0</v>
      </c>
      <c r="N107" s="66">
        <f t="shared" si="24"/>
        <v>-15269.679999999935</v>
      </c>
      <c r="O107" s="67">
        <f t="shared" si="26"/>
        <v>1034730.3200000001</v>
      </c>
    </row>
    <row r="108" spans="1:15" ht="15.75" x14ac:dyDescent="0.25">
      <c r="A108" s="4" t="s">
        <v>55</v>
      </c>
      <c r="B108" s="13" t="s">
        <v>16</v>
      </c>
      <c r="C108" s="28">
        <v>75794137.010000005</v>
      </c>
      <c r="D108" s="2">
        <v>1265607.22</v>
      </c>
      <c r="E108" s="2">
        <v>627000</v>
      </c>
      <c r="F108" s="2">
        <v>3538181.67</v>
      </c>
      <c r="G108" s="2">
        <v>793609.8</v>
      </c>
      <c r="H108" s="2">
        <v>4322373</v>
      </c>
      <c r="I108" s="2">
        <v>569408.11</v>
      </c>
      <c r="J108" s="2">
        <v>-569408.11</v>
      </c>
      <c r="K108" s="2">
        <v>5598660.8799999999</v>
      </c>
      <c r="L108" s="2">
        <v>1449911.29</v>
      </c>
      <c r="M108" s="2">
        <f>808844.37+128873.5-331860.32-2000-20900-7126.3</f>
        <v>575831.25</v>
      </c>
      <c r="N108" s="66">
        <f t="shared" si="24"/>
        <v>18171175.109999999</v>
      </c>
      <c r="O108" s="67">
        <f t="shared" si="26"/>
        <v>93965312.120000005</v>
      </c>
    </row>
    <row r="109" spans="1:15" s="57" customFormat="1" ht="15.75" x14ac:dyDescent="0.25">
      <c r="A109" s="83" t="s">
        <v>83</v>
      </c>
      <c r="B109" s="85" t="s">
        <v>84</v>
      </c>
      <c r="C109" s="72">
        <f>C110</f>
        <v>1083410</v>
      </c>
      <c r="D109" s="72">
        <f t="shared" ref="D109:M109" si="27">D110</f>
        <v>351680</v>
      </c>
      <c r="E109" s="72">
        <f t="shared" si="27"/>
        <v>0</v>
      </c>
      <c r="F109" s="72">
        <f t="shared" si="27"/>
        <v>0</v>
      </c>
      <c r="G109" s="72">
        <f t="shared" si="27"/>
        <v>0</v>
      </c>
      <c r="H109" s="72">
        <f t="shared" si="27"/>
        <v>0</v>
      </c>
      <c r="I109" s="72">
        <f t="shared" si="27"/>
        <v>1961</v>
      </c>
      <c r="J109" s="72">
        <f t="shared" si="27"/>
        <v>-1961</v>
      </c>
      <c r="K109" s="72">
        <f t="shared" si="27"/>
        <v>1961</v>
      </c>
      <c r="L109" s="72">
        <f t="shared" si="27"/>
        <v>0</v>
      </c>
      <c r="M109" s="72">
        <f t="shared" si="27"/>
        <v>0</v>
      </c>
      <c r="N109" s="73">
        <f t="shared" si="24"/>
        <v>353641</v>
      </c>
      <c r="O109" s="73">
        <f t="shared" si="25"/>
        <v>1437051</v>
      </c>
    </row>
    <row r="110" spans="1:15" s="57" customFormat="1" ht="22.5" customHeight="1" x14ac:dyDescent="0.25">
      <c r="A110" s="58" t="s">
        <v>85</v>
      </c>
      <c r="B110" s="59" t="s">
        <v>86</v>
      </c>
      <c r="C110" s="60">
        <v>1083410</v>
      </c>
      <c r="D110" s="61">
        <v>351680</v>
      </c>
      <c r="E110" s="56">
        <v>0</v>
      </c>
      <c r="F110" s="56">
        <v>0</v>
      </c>
      <c r="G110" s="56">
        <v>0</v>
      </c>
      <c r="H110" s="56">
        <v>0</v>
      </c>
      <c r="I110" s="56">
        <v>1961</v>
      </c>
      <c r="J110" s="56">
        <v>-1961</v>
      </c>
      <c r="K110" s="56">
        <v>1961</v>
      </c>
      <c r="L110" s="56">
        <v>0</v>
      </c>
      <c r="M110" s="56">
        <f>-74299+74299</f>
        <v>0</v>
      </c>
      <c r="N110" s="62">
        <f>SUM(D110:I110)</f>
        <v>353641</v>
      </c>
      <c r="O110" s="62">
        <f t="shared" si="25"/>
        <v>1437051</v>
      </c>
    </row>
    <row r="111" spans="1:15" s="57" customFormat="1" ht="31.5" x14ac:dyDescent="0.25">
      <c r="A111" s="83" t="s">
        <v>56</v>
      </c>
      <c r="B111" s="85" t="s">
        <v>17</v>
      </c>
      <c r="C111" s="72">
        <f>C112+C113</f>
        <v>12571810.01</v>
      </c>
      <c r="D111" s="72">
        <f>D112+D113</f>
        <v>22227094.289999999</v>
      </c>
      <c r="E111" s="72">
        <f>E112+E113</f>
        <v>-22177094.289999999</v>
      </c>
      <c r="F111" s="72">
        <f t="shared" ref="F111:M111" si="28">F112+F113</f>
        <v>230500</v>
      </c>
      <c r="G111" s="72">
        <f t="shared" si="28"/>
        <v>380000</v>
      </c>
      <c r="H111" s="72">
        <f t="shared" si="28"/>
        <v>175467.6</v>
      </c>
      <c r="I111" s="72">
        <f t="shared" si="28"/>
        <v>378302.08</v>
      </c>
      <c r="J111" s="72">
        <f t="shared" si="28"/>
        <v>-378302.08</v>
      </c>
      <c r="K111" s="72">
        <f t="shared" si="28"/>
        <v>2118510.08</v>
      </c>
      <c r="L111" s="72">
        <f t="shared" si="28"/>
        <v>-599008</v>
      </c>
      <c r="M111" s="72">
        <f t="shared" si="28"/>
        <v>0</v>
      </c>
      <c r="N111" s="72">
        <f>SUM(D111:M111)</f>
        <v>2355469.6799999997</v>
      </c>
      <c r="O111" s="72">
        <f>O112+O113</f>
        <v>14927279.689999999</v>
      </c>
    </row>
    <row r="112" spans="1:15" ht="63" x14ac:dyDescent="0.25">
      <c r="A112" s="4" t="s">
        <v>87</v>
      </c>
      <c r="B112" s="13" t="s">
        <v>18</v>
      </c>
      <c r="C112" s="28">
        <v>12551810.01</v>
      </c>
      <c r="D112" s="15">
        <v>22227094.289999999</v>
      </c>
      <c r="E112" s="2">
        <v>-22177094.289999999</v>
      </c>
      <c r="F112" s="2">
        <v>230500</v>
      </c>
      <c r="G112" s="2">
        <v>0</v>
      </c>
      <c r="H112" s="2">
        <v>175467.6</v>
      </c>
      <c r="I112" s="2">
        <v>378302.08</v>
      </c>
      <c r="J112" s="2">
        <v>-378302.08</v>
      </c>
      <c r="K112" s="2">
        <v>2008802.08</v>
      </c>
      <c r="L112" s="2">
        <v>-106000</v>
      </c>
      <c r="M112" s="2">
        <f>10874-10874</f>
        <v>0</v>
      </c>
      <c r="N112" s="62">
        <f>SUM(D112:M112)</f>
        <v>2358769.6800000002</v>
      </c>
      <c r="O112" s="62">
        <f>C112+N112</f>
        <v>14910579.689999999</v>
      </c>
    </row>
    <row r="113" spans="1:15" ht="31.5" x14ac:dyDescent="0.25">
      <c r="A113" s="4" t="s">
        <v>154</v>
      </c>
      <c r="B113" s="13" t="s">
        <v>158</v>
      </c>
      <c r="C113" s="28">
        <v>20000</v>
      </c>
      <c r="D113" s="15">
        <v>0</v>
      </c>
      <c r="E113" s="2">
        <v>0</v>
      </c>
      <c r="F113" s="2">
        <v>0</v>
      </c>
      <c r="G113" s="2">
        <v>380000</v>
      </c>
      <c r="H113" s="2">
        <v>0</v>
      </c>
      <c r="I113" s="2">
        <v>0</v>
      </c>
      <c r="J113" s="2">
        <v>0</v>
      </c>
      <c r="K113" s="2">
        <v>109708</v>
      </c>
      <c r="L113" s="2">
        <v>-493008</v>
      </c>
      <c r="M113" s="2">
        <v>0</v>
      </c>
      <c r="N113" s="62">
        <f>SUM(D113:M113)</f>
        <v>-3300</v>
      </c>
      <c r="O113" s="62">
        <f>C113+N113</f>
        <v>16700</v>
      </c>
    </row>
    <row r="114" spans="1:15" ht="15.75" x14ac:dyDescent="0.25">
      <c r="A114" s="83" t="s">
        <v>57</v>
      </c>
      <c r="B114" s="71" t="s">
        <v>19</v>
      </c>
      <c r="C114" s="72">
        <f>SUM(C115:C119)</f>
        <v>21719011.280000001</v>
      </c>
      <c r="D114" s="72">
        <f t="shared" ref="D114:M114" si="29">SUM(D115:D119)</f>
        <v>14276690.41</v>
      </c>
      <c r="E114" s="72">
        <f t="shared" si="29"/>
        <v>-689829.44</v>
      </c>
      <c r="F114" s="72">
        <f t="shared" si="29"/>
        <v>7468000</v>
      </c>
      <c r="G114" s="72">
        <f t="shared" si="29"/>
        <v>-225633.52</v>
      </c>
      <c r="H114" s="72">
        <f t="shared" si="29"/>
        <v>1161023.23</v>
      </c>
      <c r="I114" s="72">
        <f t="shared" si="29"/>
        <v>-319766.15000000002</v>
      </c>
      <c r="J114" s="72">
        <f t="shared" si="29"/>
        <v>319766.15000000002</v>
      </c>
      <c r="K114" s="72">
        <f t="shared" si="29"/>
        <v>670525.53</v>
      </c>
      <c r="L114" s="72">
        <f t="shared" si="29"/>
        <v>-5946142.9400000004</v>
      </c>
      <c r="M114" s="72">
        <f t="shared" si="29"/>
        <v>-144165.06</v>
      </c>
      <c r="N114" s="73">
        <f>SUM(D114:M114)</f>
        <v>16570468.209999999</v>
      </c>
      <c r="O114" s="73">
        <f>C114+N114</f>
        <v>38289479.490000002</v>
      </c>
    </row>
    <row r="115" spans="1:15" ht="15.75" x14ac:dyDescent="0.25">
      <c r="A115" s="4" t="s">
        <v>58</v>
      </c>
      <c r="B115" s="1" t="s">
        <v>20</v>
      </c>
      <c r="C115" s="19">
        <v>594052.11</v>
      </c>
      <c r="D115" s="15">
        <v>277227.45</v>
      </c>
      <c r="E115" s="2">
        <v>0</v>
      </c>
      <c r="F115" s="2">
        <v>0</v>
      </c>
      <c r="G115" s="2">
        <v>-110000</v>
      </c>
      <c r="H115" s="2">
        <v>161023.23000000001</v>
      </c>
      <c r="I115" s="2">
        <v>0</v>
      </c>
      <c r="J115" s="2">
        <v>0</v>
      </c>
      <c r="K115" s="2">
        <v>-109708</v>
      </c>
      <c r="L115" s="2">
        <v>-51315.23</v>
      </c>
      <c r="M115" s="2">
        <v>0</v>
      </c>
      <c r="N115" s="66">
        <f>SUM(D115:M115)</f>
        <v>167227.45000000004</v>
      </c>
      <c r="O115" s="62">
        <f>C115+N115</f>
        <v>761279.56</v>
      </c>
    </row>
    <row r="116" spans="1:15" ht="15.75" x14ac:dyDescent="0.25">
      <c r="A116" s="4" t="s">
        <v>59</v>
      </c>
      <c r="B116" s="1" t="s">
        <v>21</v>
      </c>
      <c r="C116" s="19">
        <v>7446959.1699999999</v>
      </c>
      <c r="D116" s="15">
        <v>855462.96</v>
      </c>
      <c r="E116" s="2">
        <v>-655462.96</v>
      </c>
      <c r="F116" s="2">
        <v>-32000</v>
      </c>
      <c r="G116" s="2">
        <v>0</v>
      </c>
      <c r="H116" s="2">
        <v>0</v>
      </c>
      <c r="I116" s="2">
        <v>-1019766.15</v>
      </c>
      <c r="J116" s="2">
        <v>1019766.15</v>
      </c>
      <c r="K116" s="2">
        <v>-1019766.47</v>
      </c>
      <c r="L116" s="2">
        <v>-4898450.83</v>
      </c>
      <c r="M116" s="2">
        <f>890.34</f>
        <v>890.34</v>
      </c>
      <c r="N116" s="66">
        <f t="shared" ref="N116:N119" si="30">SUM(D116:M116)</f>
        <v>-5749326.96</v>
      </c>
      <c r="O116" s="62">
        <f t="shared" ref="O116:O119" si="31">C116+N116</f>
        <v>1697632.21</v>
      </c>
    </row>
    <row r="117" spans="1:15" ht="15.75" x14ac:dyDescent="0.25">
      <c r="A117" s="4" t="s">
        <v>60</v>
      </c>
      <c r="B117" s="1" t="s">
        <v>22</v>
      </c>
      <c r="C117" s="19">
        <v>13028000</v>
      </c>
      <c r="D117" s="15">
        <v>0</v>
      </c>
      <c r="E117" s="2">
        <v>-34366.480000000003</v>
      </c>
      <c r="F117" s="2">
        <v>7500000</v>
      </c>
      <c r="G117" s="2">
        <v>34366.480000000003</v>
      </c>
      <c r="H117" s="2">
        <v>1000000</v>
      </c>
      <c r="I117" s="2">
        <v>800000</v>
      </c>
      <c r="J117" s="2">
        <v>-800000</v>
      </c>
      <c r="K117" s="2">
        <v>1800000</v>
      </c>
      <c r="L117" s="2">
        <v>-888000</v>
      </c>
      <c r="M117" s="2">
        <f>-128432.28</f>
        <v>-128432.28</v>
      </c>
      <c r="N117" s="66">
        <f t="shared" si="30"/>
        <v>9283567.7200000007</v>
      </c>
      <c r="O117" s="62">
        <f t="shared" si="31"/>
        <v>22311567.719999999</v>
      </c>
    </row>
    <row r="118" spans="1:15" ht="15.75" x14ac:dyDescent="0.25">
      <c r="A118" s="4" t="s">
        <v>210</v>
      </c>
      <c r="B118" s="1" t="s">
        <v>232</v>
      </c>
      <c r="C118" s="19">
        <v>0</v>
      </c>
      <c r="D118" s="15">
        <v>13344000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66">
        <f t="shared" si="30"/>
        <v>13344000</v>
      </c>
      <c r="O118" s="62">
        <f t="shared" si="31"/>
        <v>13344000</v>
      </c>
    </row>
    <row r="119" spans="1:15" ht="31.5" x14ac:dyDescent="0.25">
      <c r="A119" s="4" t="s">
        <v>61</v>
      </c>
      <c r="B119" s="1" t="s">
        <v>23</v>
      </c>
      <c r="C119" s="19">
        <v>650000</v>
      </c>
      <c r="D119" s="15">
        <v>-200000</v>
      </c>
      <c r="E119" s="2">
        <v>0</v>
      </c>
      <c r="F119" s="2">
        <v>0</v>
      </c>
      <c r="G119" s="2">
        <v>-150000</v>
      </c>
      <c r="H119" s="2">
        <v>0</v>
      </c>
      <c r="I119" s="2">
        <v>-100000</v>
      </c>
      <c r="J119" s="2">
        <v>100000</v>
      </c>
      <c r="K119" s="2">
        <v>0</v>
      </c>
      <c r="L119" s="2">
        <v>-108376.88</v>
      </c>
      <c r="M119" s="2">
        <f>-16623.12</f>
        <v>-16623.12</v>
      </c>
      <c r="N119" s="66">
        <f t="shared" si="30"/>
        <v>-475000</v>
      </c>
      <c r="O119" s="62">
        <f t="shared" si="31"/>
        <v>175000</v>
      </c>
    </row>
    <row r="120" spans="1:15" ht="15.75" x14ac:dyDescent="0.25">
      <c r="A120" s="83" t="s">
        <v>62</v>
      </c>
      <c r="B120" s="71" t="s">
        <v>24</v>
      </c>
      <c r="C120" s="72">
        <f>SUM(C121:C124)</f>
        <v>17369692.399999999</v>
      </c>
      <c r="D120" s="72">
        <f t="shared" ref="D120:M120" si="32">SUM(D121:D124)</f>
        <v>5904671.29</v>
      </c>
      <c r="E120" s="72">
        <f t="shared" si="32"/>
        <v>11427805.420000002</v>
      </c>
      <c r="F120" s="72">
        <f t="shared" si="32"/>
        <v>1881332.26</v>
      </c>
      <c r="G120" s="72">
        <f t="shared" si="32"/>
        <v>5635514.4700000007</v>
      </c>
      <c r="H120" s="72">
        <f t="shared" si="32"/>
        <v>2346241.4900000002</v>
      </c>
      <c r="I120" s="72">
        <f t="shared" si="32"/>
        <v>12022477.890000001</v>
      </c>
      <c r="J120" s="72">
        <f t="shared" si="32"/>
        <v>-12022477.790000001</v>
      </c>
      <c r="K120" s="72">
        <f t="shared" si="32"/>
        <v>19918147.27</v>
      </c>
      <c r="L120" s="72">
        <f t="shared" si="32"/>
        <v>-2525639.92</v>
      </c>
      <c r="M120" s="72">
        <f t="shared" si="32"/>
        <v>-142006.79999999999</v>
      </c>
      <c r="N120" s="73">
        <f>SUM(D120:M120)</f>
        <v>44446065.580000013</v>
      </c>
      <c r="O120" s="73">
        <f>C120+N120</f>
        <v>61815757.980000012</v>
      </c>
    </row>
    <row r="121" spans="1:15" ht="15.75" x14ac:dyDescent="0.25">
      <c r="A121" s="4" t="s">
        <v>63</v>
      </c>
      <c r="B121" s="1" t="s">
        <v>25</v>
      </c>
      <c r="C121" s="19">
        <v>5570000</v>
      </c>
      <c r="D121" s="15">
        <v>-825787.78</v>
      </c>
      <c r="E121" s="2">
        <v>-191000</v>
      </c>
      <c r="F121" s="2">
        <v>948151.31</v>
      </c>
      <c r="G121" s="2">
        <v>421037.07</v>
      </c>
      <c r="H121" s="2">
        <v>0</v>
      </c>
      <c r="I121" s="2">
        <v>936611.15</v>
      </c>
      <c r="J121" s="2">
        <v>-936611.05</v>
      </c>
      <c r="K121" s="2">
        <v>3076611.37</v>
      </c>
      <c r="L121" s="2">
        <v>179694.54</v>
      </c>
      <c r="M121" s="2">
        <f>-17702.43</f>
        <v>-17702.43</v>
      </c>
      <c r="N121" s="62">
        <f>SUM(D121:M121)</f>
        <v>3591004.18</v>
      </c>
      <c r="O121" s="62">
        <f t="shared" ref="O121:O138" si="33">C121+N121</f>
        <v>9161004.1799999997</v>
      </c>
    </row>
    <row r="122" spans="1:15" ht="15.75" x14ac:dyDescent="0.25">
      <c r="A122" s="4" t="s">
        <v>64</v>
      </c>
      <c r="B122" s="1" t="s">
        <v>26</v>
      </c>
      <c r="C122" s="19">
        <v>4040357.35</v>
      </c>
      <c r="D122" s="15">
        <v>130000</v>
      </c>
      <c r="E122" s="2">
        <v>12155462.960000001</v>
      </c>
      <c r="F122" s="2">
        <v>933180.95</v>
      </c>
      <c r="G122" s="2">
        <v>5498311</v>
      </c>
      <c r="H122" s="2">
        <v>-6412743.0700000003</v>
      </c>
      <c r="I122" s="2">
        <v>11885866.74</v>
      </c>
      <c r="J122" s="2">
        <v>-11885866.74</v>
      </c>
      <c r="K122" s="2">
        <v>17512195.899999999</v>
      </c>
      <c r="L122" s="2">
        <v>-3300942.79</v>
      </c>
      <c r="M122" s="2">
        <v>0</v>
      </c>
      <c r="N122" s="62">
        <f t="shared" ref="N122:N124" si="34">SUM(D122:M122)</f>
        <v>26515464.949999996</v>
      </c>
      <c r="O122" s="62">
        <f t="shared" si="33"/>
        <v>30555822.299999997</v>
      </c>
    </row>
    <row r="123" spans="1:15" ht="15.75" x14ac:dyDescent="0.25">
      <c r="A123" s="4" t="s">
        <v>65</v>
      </c>
      <c r="B123" s="1" t="s">
        <v>27</v>
      </c>
      <c r="C123" s="19">
        <v>7544529.3099999996</v>
      </c>
      <c r="D123" s="15">
        <v>6600459.0700000003</v>
      </c>
      <c r="E123" s="2">
        <v>-536657.54</v>
      </c>
      <c r="F123" s="2">
        <v>0</v>
      </c>
      <c r="G123" s="2">
        <v>-283833.59999999998</v>
      </c>
      <c r="H123" s="2">
        <v>8758984.5600000005</v>
      </c>
      <c r="I123" s="2">
        <v>-800000</v>
      </c>
      <c r="J123" s="2">
        <v>800000</v>
      </c>
      <c r="K123" s="2">
        <v>-670660</v>
      </c>
      <c r="L123" s="2">
        <v>595608.32999999996</v>
      </c>
      <c r="M123" s="2">
        <f>57000-181304.37</f>
        <v>-124304.37</v>
      </c>
      <c r="N123" s="62">
        <f t="shared" si="34"/>
        <v>14339596.450000003</v>
      </c>
      <c r="O123" s="62">
        <f t="shared" si="33"/>
        <v>21884125.760000002</v>
      </c>
    </row>
    <row r="124" spans="1:15" ht="31.5" x14ac:dyDescent="0.25">
      <c r="A124" s="4" t="s">
        <v>66</v>
      </c>
      <c r="B124" s="13" t="s">
        <v>28</v>
      </c>
      <c r="C124" s="19">
        <v>214805.74</v>
      </c>
      <c r="D124" s="15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62">
        <f t="shared" si="34"/>
        <v>0</v>
      </c>
      <c r="O124" s="62">
        <f t="shared" si="33"/>
        <v>214805.74</v>
      </c>
    </row>
    <row r="125" spans="1:15" ht="15.75" x14ac:dyDescent="0.25">
      <c r="A125" s="83" t="s">
        <v>67</v>
      </c>
      <c r="B125" s="71" t="s">
        <v>29</v>
      </c>
      <c r="C125" s="72">
        <f>SUM(C126:C130)</f>
        <v>480659092.83000004</v>
      </c>
      <c r="D125" s="72">
        <f t="shared" ref="D125:M125" si="35">SUM(D126:D130)</f>
        <v>-8447359.8000000007</v>
      </c>
      <c r="E125" s="72">
        <f t="shared" si="35"/>
        <v>5600000</v>
      </c>
      <c r="F125" s="72">
        <f t="shared" si="35"/>
        <v>-366164.08000000007</v>
      </c>
      <c r="G125" s="72">
        <f t="shared" si="35"/>
        <v>-3200000</v>
      </c>
      <c r="H125" s="72">
        <f t="shared" si="35"/>
        <v>5396912.9100000001</v>
      </c>
      <c r="I125" s="72">
        <f t="shared" si="35"/>
        <v>6801233.9999999991</v>
      </c>
      <c r="J125" s="72">
        <f t="shared" si="35"/>
        <v>-6801233.9999999991</v>
      </c>
      <c r="K125" s="72">
        <f t="shared" si="35"/>
        <v>280197.14999999793</v>
      </c>
      <c r="L125" s="72">
        <f t="shared" si="35"/>
        <v>-3396900.1400000006</v>
      </c>
      <c r="M125" s="72">
        <f t="shared" si="35"/>
        <v>-123983.82</v>
      </c>
      <c r="N125" s="73">
        <f>SUM(D125:M125)</f>
        <v>-4257297.7800000031</v>
      </c>
      <c r="O125" s="73">
        <f t="shared" si="33"/>
        <v>476401795.05000001</v>
      </c>
    </row>
    <row r="126" spans="1:15" ht="15.75" x14ac:dyDescent="0.25">
      <c r="A126" s="4" t="s">
        <v>68</v>
      </c>
      <c r="B126" s="1" t="s">
        <v>30</v>
      </c>
      <c r="C126" s="19">
        <v>146712667</v>
      </c>
      <c r="D126" s="15">
        <v>-461177.54</v>
      </c>
      <c r="E126" s="15">
        <v>-790809.68</v>
      </c>
      <c r="F126" s="15">
        <v>-7900</v>
      </c>
      <c r="G126" s="15">
        <v>-2100000</v>
      </c>
      <c r="H126" s="15">
        <v>60890</v>
      </c>
      <c r="I126" s="15">
        <v>-20012086</v>
      </c>
      <c r="J126" s="15">
        <v>20012086</v>
      </c>
      <c r="K126" s="15">
        <v>-19269698.57</v>
      </c>
      <c r="L126" s="15">
        <v>1098120.06</v>
      </c>
      <c r="M126" s="15">
        <f>-100351.57+87912.04+30039.57-1635-245841.51-195070+58.41</f>
        <v>-424888.06000000006</v>
      </c>
      <c r="N126" s="62">
        <f t="shared" ref="N126:N130" si="36">SUM(D126:M126)</f>
        <v>-21895463.789999999</v>
      </c>
      <c r="O126" s="62">
        <f>C126+N126</f>
        <v>124817203.21000001</v>
      </c>
    </row>
    <row r="127" spans="1:15" ht="15.75" x14ac:dyDescent="0.25">
      <c r="A127" s="4" t="s">
        <v>69</v>
      </c>
      <c r="B127" s="1" t="s">
        <v>31</v>
      </c>
      <c r="C127" s="19">
        <v>292658511.80000001</v>
      </c>
      <c r="D127" s="15">
        <v>-11957753.210000001</v>
      </c>
      <c r="E127" s="15">
        <v>5828815.6799999997</v>
      </c>
      <c r="F127" s="15">
        <v>-1558264.08</v>
      </c>
      <c r="G127" s="15">
        <v>-1900000</v>
      </c>
      <c r="H127" s="15">
        <v>2606701.85</v>
      </c>
      <c r="I127" s="15">
        <v>25370606.309999999</v>
      </c>
      <c r="J127" s="15">
        <v>-25370606.309999999</v>
      </c>
      <c r="K127" s="15">
        <v>19836178.329999998</v>
      </c>
      <c r="L127" s="15">
        <v>-5256281.4800000004</v>
      </c>
      <c r="M127" s="15">
        <f>298284.83-3000+2700-54137.05-2000-20114.66-91466.94+31356.11-25168.05-140</f>
        <v>136314.24000000005</v>
      </c>
      <c r="N127" s="62">
        <f t="shared" si="36"/>
        <v>7735711.3299999963</v>
      </c>
      <c r="O127" s="62">
        <f t="shared" ref="O127:O130" si="37">C127+N127</f>
        <v>300394223.13</v>
      </c>
    </row>
    <row r="128" spans="1:15" ht="15.75" x14ac:dyDescent="0.25">
      <c r="A128" s="4" t="s">
        <v>70</v>
      </c>
      <c r="B128" s="1" t="s">
        <v>32</v>
      </c>
      <c r="C128" s="19">
        <v>13940358</v>
      </c>
      <c r="D128" s="15">
        <v>1943000</v>
      </c>
      <c r="E128" s="15">
        <v>0</v>
      </c>
      <c r="F128" s="15">
        <v>0</v>
      </c>
      <c r="G128" s="15">
        <v>0</v>
      </c>
      <c r="H128" s="15">
        <v>3356472.58</v>
      </c>
      <c r="I128" s="15">
        <v>157583</v>
      </c>
      <c r="J128" s="15">
        <v>-157583</v>
      </c>
      <c r="K128" s="15">
        <v>-330000</v>
      </c>
      <c r="L128" s="15">
        <v>114943</v>
      </c>
      <c r="M128" s="15">
        <v>0</v>
      </c>
      <c r="N128" s="62">
        <f t="shared" si="36"/>
        <v>5084415.58</v>
      </c>
      <c r="O128" s="62">
        <f t="shared" si="37"/>
        <v>19024773.579999998</v>
      </c>
    </row>
    <row r="129" spans="1:15" ht="15.75" x14ac:dyDescent="0.25">
      <c r="A129" s="4" t="s">
        <v>71</v>
      </c>
      <c r="B129" s="1" t="s">
        <v>33</v>
      </c>
      <c r="C129" s="19">
        <v>1913563.8</v>
      </c>
      <c r="D129" s="15">
        <v>1515151.52</v>
      </c>
      <c r="E129" s="15">
        <v>300000</v>
      </c>
      <c r="F129" s="15">
        <v>1100000</v>
      </c>
      <c r="G129" s="15">
        <v>-200000</v>
      </c>
      <c r="H129" s="15">
        <v>-627151.52</v>
      </c>
      <c r="I129" s="15">
        <v>-11235.31</v>
      </c>
      <c r="J129" s="15">
        <v>11235.31</v>
      </c>
      <c r="K129" s="15">
        <v>43717.39</v>
      </c>
      <c r="L129" s="15">
        <v>62516.65</v>
      </c>
      <c r="M129" s="15">
        <f>1400-17310+130000</f>
        <v>114090</v>
      </c>
      <c r="N129" s="62">
        <f t="shared" si="36"/>
        <v>2308324.04</v>
      </c>
      <c r="O129" s="62">
        <f t="shared" si="37"/>
        <v>4221887.84</v>
      </c>
    </row>
    <row r="130" spans="1:15" ht="15.75" x14ac:dyDescent="0.25">
      <c r="A130" s="4" t="s">
        <v>72</v>
      </c>
      <c r="B130" s="1" t="s">
        <v>34</v>
      </c>
      <c r="C130" s="19">
        <v>25433992.23</v>
      </c>
      <c r="D130" s="15">
        <v>513419.43</v>
      </c>
      <c r="E130" s="15">
        <v>261994</v>
      </c>
      <c r="F130" s="15">
        <v>100000</v>
      </c>
      <c r="G130" s="15">
        <v>1000000</v>
      </c>
      <c r="H130" s="15">
        <v>0</v>
      </c>
      <c r="I130" s="15">
        <v>1296366</v>
      </c>
      <c r="J130" s="15">
        <v>-1296366</v>
      </c>
      <c r="K130" s="15">
        <v>0</v>
      </c>
      <c r="L130" s="15">
        <v>583801.63</v>
      </c>
      <c r="M130" s="15">
        <f>34500+16000</f>
        <v>50500</v>
      </c>
      <c r="N130" s="62">
        <f t="shared" si="36"/>
        <v>2509715.0599999996</v>
      </c>
      <c r="O130" s="62">
        <f t="shared" si="37"/>
        <v>27943707.289999999</v>
      </c>
    </row>
    <row r="131" spans="1:15" ht="15.75" x14ac:dyDescent="0.25">
      <c r="A131" s="83" t="s">
        <v>73</v>
      </c>
      <c r="B131" s="71" t="s">
        <v>35</v>
      </c>
      <c r="C131" s="72">
        <f>SUM(C132:C133)</f>
        <v>40371574.950000003</v>
      </c>
      <c r="D131" s="72">
        <f t="shared" ref="D131:M131" si="38">SUM(D132:D133)</f>
        <v>147588.53</v>
      </c>
      <c r="E131" s="72">
        <f t="shared" si="38"/>
        <v>200000</v>
      </c>
      <c r="F131" s="72">
        <f t="shared" si="38"/>
        <v>1450000</v>
      </c>
      <c r="G131" s="72">
        <f t="shared" si="38"/>
        <v>3000000</v>
      </c>
      <c r="H131" s="72">
        <f t="shared" si="38"/>
        <v>4500000</v>
      </c>
      <c r="I131" s="72">
        <f t="shared" si="38"/>
        <v>351448</v>
      </c>
      <c r="J131" s="72">
        <f t="shared" si="38"/>
        <v>-351448</v>
      </c>
      <c r="K131" s="72">
        <f t="shared" si="38"/>
        <v>2443000</v>
      </c>
      <c r="L131" s="72">
        <f t="shared" si="38"/>
        <v>4674720.3699999992</v>
      </c>
      <c r="M131" s="72">
        <f t="shared" si="38"/>
        <v>192000</v>
      </c>
      <c r="N131" s="73">
        <f>SUM(D131:M131)</f>
        <v>16607308.9</v>
      </c>
      <c r="O131" s="73">
        <f>C131+N131</f>
        <v>56978883.850000001</v>
      </c>
    </row>
    <row r="132" spans="1:15" ht="15.75" x14ac:dyDescent="0.25">
      <c r="A132" s="4" t="s">
        <v>74</v>
      </c>
      <c r="B132" s="1" t="s">
        <v>36</v>
      </c>
      <c r="C132" s="19">
        <v>26490854.949999999</v>
      </c>
      <c r="D132" s="15">
        <v>152588.53</v>
      </c>
      <c r="E132" s="15">
        <v>105018.95</v>
      </c>
      <c r="F132" s="15">
        <v>1049353.5</v>
      </c>
      <c r="G132" s="15">
        <v>3683003</v>
      </c>
      <c r="H132" s="15">
        <v>2800000</v>
      </c>
      <c r="I132" s="15">
        <v>-1039509</v>
      </c>
      <c r="J132" s="15">
        <v>1039509</v>
      </c>
      <c r="K132" s="15">
        <v>1087892</v>
      </c>
      <c r="L132" s="15">
        <v>2223075.61</v>
      </c>
      <c r="M132" s="15">
        <f>-222000+96000+131000+10000+6000-50000+50000</f>
        <v>21000</v>
      </c>
      <c r="N132" s="62">
        <f t="shared" ref="N132:N133" si="39">SUM(D132:M132)</f>
        <v>11121931.59</v>
      </c>
      <c r="O132" s="62">
        <f>C132+N132</f>
        <v>37612786.539999999</v>
      </c>
    </row>
    <row r="133" spans="1:15" ht="31.5" x14ac:dyDescent="0.25">
      <c r="A133" s="4" t="s">
        <v>75</v>
      </c>
      <c r="B133" s="13" t="s">
        <v>37</v>
      </c>
      <c r="C133" s="28">
        <v>13880720</v>
      </c>
      <c r="D133" s="15">
        <v>-5000</v>
      </c>
      <c r="E133" s="15">
        <v>94981.05</v>
      </c>
      <c r="F133" s="15">
        <v>400646.5</v>
      </c>
      <c r="G133" s="15">
        <v>-683003</v>
      </c>
      <c r="H133" s="15">
        <v>1700000</v>
      </c>
      <c r="I133" s="15">
        <v>1390957</v>
      </c>
      <c r="J133" s="15">
        <v>-1390957</v>
      </c>
      <c r="K133" s="15">
        <v>1355108</v>
      </c>
      <c r="L133" s="15">
        <v>2451644.7599999998</v>
      </c>
      <c r="M133" s="15">
        <f>36000+100000+35000+589000-589000</f>
        <v>171000</v>
      </c>
      <c r="N133" s="62">
        <f t="shared" si="39"/>
        <v>5485377.3099999996</v>
      </c>
      <c r="O133" s="62">
        <f>C133+N133</f>
        <v>19366097.309999999</v>
      </c>
    </row>
    <row r="134" spans="1:15" ht="15.75" x14ac:dyDescent="0.25">
      <c r="A134" s="83">
        <v>1000</v>
      </c>
      <c r="B134" s="71" t="s">
        <v>38</v>
      </c>
      <c r="C134" s="72">
        <f>C135+C136+C137+C138</f>
        <v>43896340.719999999</v>
      </c>
      <c r="D134" s="72">
        <f t="shared" ref="D134:M134" si="40">D135+D136+D137+D138</f>
        <v>409482.77999999997</v>
      </c>
      <c r="E134" s="72">
        <f t="shared" si="40"/>
        <v>0</v>
      </c>
      <c r="F134" s="72">
        <f t="shared" si="40"/>
        <v>300000</v>
      </c>
      <c r="G134" s="72">
        <f t="shared" si="40"/>
        <v>150000</v>
      </c>
      <c r="H134" s="72">
        <f t="shared" si="40"/>
        <v>-2993991.43</v>
      </c>
      <c r="I134" s="72">
        <f t="shared" si="40"/>
        <v>-2468216</v>
      </c>
      <c r="J134" s="72">
        <f t="shared" si="40"/>
        <v>2468216</v>
      </c>
      <c r="K134" s="72">
        <f t="shared" si="40"/>
        <v>-2168216</v>
      </c>
      <c r="L134" s="72">
        <f t="shared" si="40"/>
        <v>-6428867.4300000006</v>
      </c>
      <c r="M134" s="72">
        <f t="shared" si="40"/>
        <v>0</v>
      </c>
      <c r="N134" s="73">
        <f t="shared" ref="N134:N145" si="41">SUM(D134:M134)</f>
        <v>-10731592.080000002</v>
      </c>
      <c r="O134" s="73">
        <f>C134+N134</f>
        <v>33164748.639999997</v>
      </c>
    </row>
    <row r="135" spans="1:15" ht="15.75" x14ac:dyDescent="0.25">
      <c r="A135" s="4">
        <v>1001</v>
      </c>
      <c r="B135" s="1" t="s">
        <v>39</v>
      </c>
      <c r="C135" s="19">
        <v>700000</v>
      </c>
      <c r="D135" s="15">
        <v>0</v>
      </c>
      <c r="E135" s="15">
        <v>0</v>
      </c>
      <c r="F135" s="15">
        <v>0</v>
      </c>
      <c r="G135" s="15">
        <v>0</v>
      </c>
      <c r="H135" s="15">
        <v>770708.57</v>
      </c>
      <c r="I135" s="15">
        <v>0</v>
      </c>
      <c r="J135" s="15">
        <v>0</v>
      </c>
      <c r="K135" s="15">
        <v>0</v>
      </c>
      <c r="L135" s="15">
        <v>-48158.49</v>
      </c>
      <c r="M135" s="15">
        <v>0</v>
      </c>
      <c r="N135" s="62">
        <f t="shared" si="41"/>
        <v>722550.08</v>
      </c>
      <c r="O135" s="62">
        <f t="shared" si="33"/>
        <v>1422550.08</v>
      </c>
    </row>
    <row r="136" spans="1:15" ht="15.75" x14ac:dyDescent="0.25">
      <c r="A136" s="4">
        <v>1003</v>
      </c>
      <c r="B136" s="1" t="s">
        <v>40</v>
      </c>
      <c r="C136" s="19">
        <v>3540000</v>
      </c>
      <c r="D136" s="15">
        <v>0</v>
      </c>
      <c r="E136" s="15">
        <v>0</v>
      </c>
      <c r="F136" s="15">
        <v>300000</v>
      </c>
      <c r="G136" s="15">
        <v>150000</v>
      </c>
      <c r="H136" s="15">
        <v>150000</v>
      </c>
      <c r="I136" s="15">
        <v>-1805400</v>
      </c>
      <c r="J136" s="15">
        <v>1805400</v>
      </c>
      <c r="K136" s="15">
        <v>-1505400</v>
      </c>
      <c r="L136" s="15">
        <v>234600</v>
      </c>
      <c r="M136" s="15">
        <v>0</v>
      </c>
      <c r="N136" s="62">
        <f t="shared" si="41"/>
        <v>-670800</v>
      </c>
      <c r="O136" s="62">
        <f t="shared" si="33"/>
        <v>2869200</v>
      </c>
    </row>
    <row r="137" spans="1:15" ht="15.75" x14ac:dyDescent="0.25">
      <c r="A137" s="4">
        <v>1004</v>
      </c>
      <c r="B137" s="1" t="s">
        <v>41</v>
      </c>
      <c r="C137" s="19">
        <v>39156340.719999999</v>
      </c>
      <c r="D137" s="15">
        <v>-65818.02</v>
      </c>
      <c r="E137" s="15">
        <v>0</v>
      </c>
      <c r="F137" s="15">
        <v>0</v>
      </c>
      <c r="G137" s="15">
        <v>0</v>
      </c>
      <c r="H137" s="15">
        <v>-3914700</v>
      </c>
      <c r="I137" s="15">
        <v>-662816</v>
      </c>
      <c r="J137" s="15">
        <v>662816</v>
      </c>
      <c r="K137" s="15">
        <v>-662816</v>
      </c>
      <c r="L137" s="15">
        <v>-6615308.9400000004</v>
      </c>
      <c r="M137" s="15">
        <v>0</v>
      </c>
      <c r="N137" s="62">
        <f t="shared" si="41"/>
        <v>-11258642.960000001</v>
      </c>
      <c r="O137" s="62">
        <f t="shared" si="33"/>
        <v>27897697.759999998</v>
      </c>
    </row>
    <row r="138" spans="1:15" ht="31.5" x14ac:dyDescent="0.25">
      <c r="A138" s="4">
        <v>1006</v>
      </c>
      <c r="B138" s="13" t="s">
        <v>42</v>
      </c>
      <c r="C138" s="19">
        <v>500000</v>
      </c>
      <c r="D138" s="15">
        <v>475300.8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62">
        <f t="shared" si="41"/>
        <v>475300.8</v>
      </c>
      <c r="O138" s="62">
        <f t="shared" si="33"/>
        <v>975300.8</v>
      </c>
    </row>
    <row r="139" spans="1:15" ht="15.75" x14ac:dyDescent="0.25">
      <c r="A139" s="83">
        <v>1100</v>
      </c>
      <c r="B139" s="84" t="s">
        <v>43</v>
      </c>
      <c r="C139" s="72">
        <f>C140+C141</f>
        <v>16670939.15</v>
      </c>
      <c r="D139" s="72">
        <f t="shared" ref="D139:M139" si="42">D140+D141</f>
        <v>1038215.19</v>
      </c>
      <c r="E139" s="72">
        <f t="shared" si="42"/>
        <v>0</v>
      </c>
      <c r="F139" s="72">
        <f t="shared" si="42"/>
        <v>0</v>
      </c>
      <c r="G139" s="72">
        <f t="shared" si="42"/>
        <v>1180586.07</v>
      </c>
      <c r="H139" s="72">
        <f t="shared" si="42"/>
        <v>37540542.600000001</v>
      </c>
      <c r="I139" s="72">
        <f t="shared" si="42"/>
        <v>806784.85</v>
      </c>
      <c r="J139" s="72">
        <f t="shared" si="42"/>
        <v>-806784.85</v>
      </c>
      <c r="K139" s="72">
        <f t="shared" si="42"/>
        <v>4755380.97</v>
      </c>
      <c r="L139" s="72">
        <f t="shared" si="42"/>
        <v>41315.53</v>
      </c>
      <c r="M139" s="72">
        <f t="shared" si="42"/>
        <v>0</v>
      </c>
      <c r="N139" s="73">
        <f t="shared" si="41"/>
        <v>44556040.359999999</v>
      </c>
      <c r="O139" s="73">
        <f t="shared" ref="O139:O145" si="43">C139+N139</f>
        <v>61226979.509999998</v>
      </c>
    </row>
    <row r="140" spans="1:15" ht="15.75" x14ac:dyDescent="0.25">
      <c r="A140" s="4" t="s">
        <v>157</v>
      </c>
      <c r="B140" s="1" t="s">
        <v>160</v>
      </c>
      <c r="C140" s="19">
        <v>15976952.4</v>
      </c>
      <c r="D140" s="15">
        <v>147201.94</v>
      </c>
      <c r="E140" s="15">
        <v>0</v>
      </c>
      <c r="F140" s="15">
        <v>0</v>
      </c>
      <c r="G140" s="15">
        <v>286388.67</v>
      </c>
      <c r="H140" s="15">
        <v>0</v>
      </c>
      <c r="I140" s="15">
        <v>806784.85</v>
      </c>
      <c r="J140" s="15">
        <v>-806784.85</v>
      </c>
      <c r="K140" s="15">
        <v>4805380.97</v>
      </c>
      <c r="L140" s="15">
        <v>41315.53</v>
      </c>
      <c r="M140" s="15">
        <f>294.1</f>
        <v>294.10000000000002</v>
      </c>
      <c r="N140" s="62">
        <f t="shared" si="41"/>
        <v>5280581.21</v>
      </c>
      <c r="O140" s="62">
        <f t="shared" si="43"/>
        <v>21257533.609999999</v>
      </c>
    </row>
    <row r="141" spans="1:15" ht="15.75" x14ac:dyDescent="0.25">
      <c r="A141" s="4" t="s">
        <v>156</v>
      </c>
      <c r="B141" s="1" t="s">
        <v>159</v>
      </c>
      <c r="C141" s="19">
        <v>693986.75</v>
      </c>
      <c r="D141" s="15">
        <v>891013.25</v>
      </c>
      <c r="E141" s="15">
        <v>0</v>
      </c>
      <c r="F141" s="15">
        <v>0</v>
      </c>
      <c r="G141" s="15">
        <v>894197.4</v>
      </c>
      <c r="H141" s="15">
        <v>37540542.600000001</v>
      </c>
      <c r="I141" s="15">
        <v>0</v>
      </c>
      <c r="J141" s="15">
        <v>0</v>
      </c>
      <c r="K141" s="15">
        <v>-50000</v>
      </c>
      <c r="L141" s="15">
        <v>0</v>
      </c>
      <c r="M141" s="15">
        <f>-294.1</f>
        <v>-294.10000000000002</v>
      </c>
      <c r="N141" s="62">
        <f t="shared" si="41"/>
        <v>39275459.149999999</v>
      </c>
      <c r="O141" s="62">
        <f t="shared" si="43"/>
        <v>39969445.899999999</v>
      </c>
    </row>
    <row r="142" spans="1:15" ht="15.75" x14ac:dyDescent="0.25">
      <c r="A142" s="83">
        <v>1200</v>
      </c>
      <c r="B142" s="71" t="s">
        <v>44</v>
      </c>
      <c r="C142" s="72">
        <f>C143</f>
        <v>6058376.4400000004</v>
      </c>
      <c r="D142" s="72">
        <f t="shared" ref="D142:M142" si="44">D143</f>
        <v>0</v>
      </c>
      <c r="E142" s="72">
        <f t="shared" si="44"/>
        <v>0</v>
      </c>
      <c r="F142" s="72">
        <f t="shared" si="44"/>
        <v>500000</v>
      </c>
      <c r="G142" s="72">
        <f t="shared" si="44"/>
        <v>0</v>
      </c>
      <c r="H142" s="72">
        <f t="shared" si="44"/>
        <v>0</v>
      </c>
      <c r="I142" s="72">
        <f t="shared" si="44"/>
        <v>843010.54</v>
      </c>
      <c r="J142" s="72">
        <f t="shared" si="44"/>
        <v>-843010.54</v>
      </c>
      <c r="K142" s="72">
        <f t="shared" si="44"/>
        <v>1100531</v>
      </c>
      <c r="L142" s="72">
        <f t="shared" si="44"/>
        <v>934350.41</v>
      </c>
      <c r="M142" s="72">
        <f t="shared" si="44"/>
        <v>0</v>
      </c>
      <c r="N142" s="73">
        <f t="shared" si="41"/>
        <v>2534881.41</v>
      </c>
      <c r="O142" s="73">
        <f t="shared" si="43"/>
        <v>8593257.8500000015</v>
      </c>
    </row>
    <row r="143" spans="1:15" ht="15.75" x14ac:dyDescent="0.25">
      <c r="A143" s="4">
        <v>1202</v>
      </c>
      <c r="B143" s="1" t="s">
        <v>45</v>
      </c>
      <c r="C143" s="19">
        <v>6058376.4400000004</v>
      </c>
      <c r="D143" s="15">
        <v>0</v>
      </c>
      <c r="E143" s="15">
        <v>0</v>
      </c>
      <c r="F143" s="15">
        <v>500000</v>
      </c>
      <c r="G143" s="15">
        <v>0</v>
      </c>
      <c r="H143" s="15">
        <v>0</v>
      </c>
      <c r="I143" s="15">
        <v>843010.54</v>
      </c>
      <c r="J143" s="15">
        <v>-843010.54</v>
      </c>
      <c r="K143" s="15">
        <v>1100531</v>
      </c>
      <c r="L143" s="15">
        <v>934350.41</v>
      </c>
      <c r="M143" s="15">
        <v>0</v>
      </c>
      <c r="N143" s="62">
        <f t="shared" si="41"/>
        <v>2534881.41</v>
      </c>
      <c r="O143" s="62">
        <f t="shared" si="43"/>
        <v>8593257.8500000015</v>
      </c>
    </row>
    <row r="144" spans="1:15" ht="31.5" x14ac:dyDescent="0.25">
      <c r="A144" s="83" t="s">
        <v>155</v>
      </c>
      <c r="B144" s="85" t="s">
        <v>161</v>
      </c>
      <c r="C144" s="86">
        <f>C145</f>
        <v>0</v>
      </c>
      <c r="D144" s="86">
        <f t="shared" ref="D144:M144" si="45">D145</f>
        <v>80655.759999999995</v>
      </c>
      <c r="E144" s="86">
        <f t="shared" si="45"/>
        <v>0</v>
      </c>
      <c r="F144" s="86">
        <f t="shared" si="45"/>
        <v>0</v>
      </c>
      <c r="G144" s="86">
        <f t="shared" si="45"/>
        <v>0</v>
      </c>
      <c r="H144" s="86">
        <f t="shared" si="45"/>
        <v>0</v>
      </c>
      <c r="I144" s="86">
        <f t="shared" si="45"/>
        <v>0</v>
      </c>
      <c r="J144" s="86">
        <f t="shared" si="45"/>
        <v>0</v>
      </c>
      <c r="K144" s="86">
        <f t="shared" si="45"/>
        <v>0</v>
      </c>
      <c r="L144" s="86">
        <f t="shared" si="45"/>
        <v>-45458</v>
      </c>
      <c r="M144" s="86">
        <f t="shared" si="45"/>
        <v>0</v>
      </c>
      <c r="N144" s="73">
        <f t="shared" si="41"/>
        <v>35197.759999999995</v>
      </c>
      <c r="O144" s="73">
        <f t="shared" si="43"/>
        <v>35197.759999999995</v>
      </c>
    </row>
    <row r="145" spans="1:15" ht="31.5" x14ac:dyDescent="0.25">
      <c r="A145" s="40" t="s">
        <v>211</v>
      </c>
      <c r="B145" s="41" t="s">
        <v>231</v>
      </c>
      <c r="C145" s="28">
        <v>0</v>
      </c>
      <c r="D145" s="28">
        <v>80655.759999999995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-45458</v>
      </c>
      <c r="M145" s="28">
        <v>0</v>
      </c>
      <c r="N145" s="62">
        <f t="shared" si="41"/>
        <v>35197.759999999995</v>
      </c>
      <c r="O145" s="62">
        <f t="shared" si="43"/>
        <v>35197.759999999995</v>
      </c>
    </row>
    <row r="146" spans="1:15" ht="15.75" x14ac:dyDescent="0.25">
      <c r="A146" s="68"/>
      <c r="B146" s="64" t="s">
        <v>46</v>
      </c>
      <c r="C146" s="65">
        <f>C100+C109+C111+C114+C120+C125+C131+C134+C139+C142+C144</f>
        <v>775513469.79000008</v>
      </c>
      <c r="D146" s="65">
        <f t="shared" ref="D146:O146" si="46">D100+D109+D111+D114+D120+D125+D131+D134+D139+D142+D144</f>
        <v>37376036.409999989</v>
      </c>
      <c r="E146" s="65">
        <f t="shared" si="46"/>
        <v>-4948118.3099999987</v>
      </c>
      <c r="F146" s="65">
        <f t="shared" si="46"/>
        <v>15937535.92</v>
      </c>
      <c r="G146" s="65">
        <f t="shared" si="46"/>
        <v>6300000.0000000009</v>
      </c>
      <c r="H146" s="65">
        <f t="shared" si="46"/>
        <v>53127646.039999999</v>
      </c>
      <c r="I146" s="65">
        <f t="shared" si="46"/>
        <v>20718437.240000002</v>
      </c>
      <c r="J146" s="65">
        <f t="shared" si="46"/>
        <v>-20718437.140000001</v>
      </c>
      <c r="K146" s="65">
        <f t="shared" si="46"/>
        <v>37700764.799999997</v>
      </c>
      <c r="L146" s="65">
        <f t="shared" si="46"/>
        <v>-6236604.0600000015</v>
      </c>
      <c r="M146" s="65">
        <f t="shared" si="46"/>
        <v>-507939.15999999992</v>
      </c>
      <c r="N146" s="65">
        <f t="shared" si="46"/>
        <v>138749321.74000001</v>
      </c>
      <c r="O146" s="65">
        <f t="shared" si="46"/>
        <v>914262791.53000009</v>
      </c>
    </row>
    <row r="147" spans="1:15" ht="22.5" customHeight="1" x14ac:dyDescent="0.25">
      <c r="A147" s="87"/>
      <c r="B147" s="71" t="s">
        <v>47</v>
      </c>
      <c r="C147" s="81">
        <f>C98-C146</f>
        <v>-446448.72000002861</v>
      </c>
      <c r="D147" s="81">
        <f t="shared" ref="D147:M147" si="47">D98-D146</f>
        <v>-3369292.4399999902</v>
      </c>
      <c r="E147" s="81">
        <f t="shared" si="47"/>
        <v>-2235964.1099999994</v>
      </c>
      <c r="F147" s="81">
        <f t="shared" si="47"/>
        <v>0</v>
      </c>
      <c r="G147" s="81">
        <f t="shared" si="47"/>
        <v>0</v>
      </c>
      <c r="H147" s="81">
        <f t="shared" si="47"/>
        <v>0</v>
      </c>
      <c r="I147" s="81">
        <f t="shared" si="47"/>
        <v>0</v>
      </c>
      <c r="J147" s="81">
        <f t="shared" si="47"/>
        <v>-9.9999997764825821E-2</v>
      </c>
      <c r="K147" s="81">
        <f t="shared" si="47"/>
        <v>446448.90000000596</v>
      </c>
      <c r="L147" s="81">
        <f t="shared" si="47"/>
        <v>3427751.7000000007</v>
      </c>
      <c r="M147" s="81">
        <f t="shared" si="47"/>
        <v>507939.15999999992</v>
      </c>
      <c r="N147" s="81">
        <f>N98-N146</f>
        <v>-1223116.8899999857</v>
      </c>
      <c r="O147" s="81">
        <f>O98-O146</f>
        <v>-1669565.6100000143</v>
      </c>
    </row>
    <row r="149" spans="1:15" x14ac:dyDescent="0.25">
      <c r="C149" s="29"/>
      <c r="D149" s="29"/>
    </row>
  </sheetData>
  <mergeCells count="22">
    <mergeCell ref="A1:O1"/>
    <mergeCell ref="A6:AF6"/>
    <mergeCell ref="A4:O4"/>
    <mergeCell ref="A7:O7"/>
    <mergeCell ref="A8:O8"/>
    <mergeCell ref="A5:AF5"/>
    <mergeCell ref="A10:O10"/>
    <mergeCell ref="A15:O15"/>
    <mergeCell ref="A99:O99"/>
    <mergeCell ref="O17:O19"/>
    <mergeCell ref="A2:O2"/>
    <mergeCell ref="A21:O21"/>
    <mergeCell ref="B17:B18"/>
    <mergeCell ref="C17:C18"/>
    <mergeCell ref="A17:A18"/>
    <mergeCell ref="E17:N17"/>
    <mergeCell ref="N18:N19"/>
    <mergeCell ref="A9:O9"/>
    <mergeCell ref="A11:O11"/>
    <mergeCell ref="A12:O12"/>
    <mergeCell ref="A13:O13"/>
    <mergeCell ref="A14:O14"/>
  </mergeCells>
  <pageMargins left="0.2" right="0.23" top="0.2" bottom="0.2" header="0.2" footer="0.2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Изменения 2023</vt:lpstr>
      <vt:lpstr>'Изменения 2023'!Область_печати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Фоминых</cp:lastModifiedBy>
  <cp:lastPrinted>2025-04-11T07:43:06Z</cp:lastPrinted>
  <dcterms:created xsi:type="dcterms:W3CDTF">2020-06-15T00:34:01Z</dcterms:created>
  <dcterms:modified xsi:type="dcterms:W3CDTF">2025-04-21T23:32:24Z</dcterms:modified>
</cp:coreProperties>
</file>