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060"/>
  </bookViews>
  <sheets>
    <sheet name="расчет" sheetId="4" r:id="rId1"/>
  </sheets>
  <calcPr calcId="152511"/>
</workbook>
</file>

<file path=xl/calcChain.xml><?xml version="1.0" encoding="utf-8"?>
<calcChain xmlns="http://schemas.openxmlformats.org/spreadsheetml/2006/main">
  <c r="G84" i="4" l="1"/>
  <c r="A79" i="4"/>
  <c r="E116" i="4"/>
  <c r="E115" i="4"/>
  <c r="E114" i="4"/>
  <c r="E112" i="4"/>
  <c r="E113" i="4" s="1"/>
  <c r="A107" i="4"/>
  <c r="C112" i="4" s="1"/>
  <c r="B112" i="4" l="1"/>
  <c r="A93" i="4"/>
  <c r="D112" i="4" l="1"/>
  <c r="F112" i="4" s="1"/>
  <c r="B113" i="4"/>
  <c r="B114" i="4"/>
  <c r="G112" i="4"/>
  <c r="B98" i="4"/>
  <c r="B100" i="4" s="1"/>
  <c r="E98" i="4"/>
  <c r="E102" i="4" s="1"/>
  <c r="C98" i="4"/>
  <c r="C84" i="4"/>
  <c r="E84" i="4"/>
  <c r="E88" i="4" s="1"/>
  <c r="B69" i="4"/>
  <c r="B71" i="4" s="1"/>
  <c r="B73" i="4" s="1"/>
  <c r="E72" i="4"/>
  <c r="E73" i="4"/>
  <c r="E69" i="4"/>
  <c r="E70" i="4" s="1"/>
  <c r="E99" i="4" l="1"/>
  <c r="E100" i="4"/>
  <c r="E101" i="4"/>
  <c r="B70" i="4"/>
  <c r="B116" i="4"/>
  <c r="G114" i="4"/>
  <c r="D114" i="4"/>
  <c r="F114" i="4" s="1"/>
  <c r="B115" i="4"/>
  <c r="D113" i="4"/>
  <c r="F113" i="4" s="1"/>
  <c r="G113" i="4"/>
  <c r="G100" i="4"/>
  <c r="B102" i="4"/>
  <c r="B101" i="4"/>
  <c r="D100" i="4"/>
  <c r="F100" i="4" s="1"/>
  <c r="G98" i="4"/>
  <c r="D98" i="4"/>
  <c r="F98" i="4" s="1"/>
  <c r="B99" i="4"/>
  <c r="B84" i="4"/>
  <c r="B86" i="4" s="1"/>
  <c r="B87" i="4" s="1"/>
  <c r="E85" i="4"/>
  <c r="E86" i="4"/>
  <c r="E87" i="4"/>
  <c r="E71" i="4"/>
  <c r="B72" i="4"/>
  <c r="C69" i="4"/>
  <c r="E57" i="4"/>
  <c r="E58" i="4" s="1"/>
  <c r="B57" i="4"/>
  <c r="C55" i="4"/>
  <c r="E41" i="4"/>
  <c r="E43" i="4" s="1"/>
  <c r="B41" i="4"/>
  <c r="B43" i="4" s="1"/>
  <c r="C40" i="4"/>
  <c r="E27" i="4"/>
  <c r="E26" i="4" s="1"/>
  <c r="B27" i="4"/>
  <c r="B28" i="4" s="1"/>
  <c r="D28" i="4" s="1"/>
  <c r="C26" i="4"/>
  <c r="E12" i="4"/>
  <c r="E13" i="4" s="1"/>
  <c r="C12" i="4"/>
  <c r="B12" i="4"/>
  <c r="B15" i="4" s="1"/>
  <c r="G115" i="4" l="1"/>
  <c r="D115" i="4"/>
  <c r="F115" i="4" s="1"/>
  <c r="G116" i="4"/>
  <c r="D116" i="4"/>
  <c r="F116" i="4" s="1"/>
  <c r="B14" i="4"/>
  <c r="G86" i="4"/>
  <c r="D102" i="4"/>
  <c r="F102" i="4" s="1"/>
  <c r="G102" i="4"/>
  <c r="D99" i="4"/>
  <c r="F99" i="4" s="1"/>
  <c r="G99" i="4"/>
  <c r="D101" i="4"/>
  <c r="F101" i="4" s="1"/>
  <c r="G101" i="4"/>
  <c r="B88" i="4"/>
  <c r="D88" i="4" s="1"/>
  <c r="F88" i="4" s="1"/>
  <c r="D84" i="4"/>
  <c r="F84" i="4" s="1"/>
  <c r="D86" i="4"/>
  <c r="F86" i="4" s="1"/>
  <c r="B85" i="4"/>
  <c r="D85" i="4" s="1"/>
  <c r="F85" i="4" s="1"/>
  <c r="D87" i="4"/>
  <c r="F87" i="4" s="1"/>
  <c r="G87" i="4"/>
  <c r="B29" i="4"/>
  <c r="D29" i="4" s="1"/>
  <c r="D27" i="4"/>
  <c r="F27" i="4" s="1"/>
  <c r="B30" i="4"/>
  <c r="G30" i="4" s="1"/>
  <c r="B26" i="4"/>
  <c r="D26" i="4" s="1"/>
  <c r="F26" i="4" s="1"/>
  <c r="E56" i="4"/>
  <c r="D12" i="4"/>
  <c r="F12" i="4" s="1"/>
  <c r="D14" i="4"/>
  <c r="G43" i="4"/>
  <c r="B44" i="4"/>
  <c r="D44" i="4" s="1"/>
  <c r="D73" i="4"/>
  <c r="F73" i="4" s="1"/>
  <c r="E14" i="4"/>
  <c r="D30" i="4"/>
  <c r="E44" i="4"/>
  <c r="G12" i="4"/>
  <c r="E15" i="4"/>
  <c r="G15" i="4" s="1"/>
  <c r="E42" i="4"/>
  <c r="B13" i="4"/>
  <c r="D13" i="4" s="1"/>
  <c r="F13" i="4" s="1"/>
  <c r="B16" i="4"/>
  <c r="D16" i="4" s="1"/>
  <c r="G27" i="4"/>
  <c r="E40" i="4"/>
  <c r="E55" i="4"/>
  <c r="E59" i="4"/>
  <c r="B56" i="4"/>
  <c r="B59" i="4"/>
  <c r="B58" i="4"/>
  <c r="D57" i="4"/>
  <c r="F57" i="4" s="1"/>
  <c r="B55" i="4"/>
  <c r="E29" i="4"/>
  <c r="G29" i="4" s="1"/>
  <c r="E28" i="4"/>
  <c r="G28" i="4" s="1"/>
  <c r="E30" i="4"/>
  <c r="G57" i="4"/>
  <c r="G72" i="4"/>
  <c r="D15" i="4"/>
  <c r="F15" i="4" s="1"/>
  <c r="D43" i="4"/>
  <c r="F43" i="4" s="1"/>
  <c r="G44" i="4"/>
  <c r="D70" i="4"/>
  <c r="F70" i="4" s="1"/>
  <c r="D72" i="4"/>
  <c r="G41" i="4"/>
  <c r="G70" i="4"/>
  <c r="G14" i="4"/>
  <c r="E16" i="4"/>
  <c r="G16" i="4" s="1"/>
  <c r="D41" i="4"/>
  <c r="F41" i="4" s="1"/>
  <c r="B42" i="4"/>
  <c r="G71" i="4"/>
  <c r="B40" i="4"/>
  <c r="D71" i="4"/>
  <c r="F71" i="4" s="1"/>
  <c r="F16" i="4" l="1"/>
  <c r="G13" i="4"/>
  <c r="G88" i="4"/>
  <c r="G85" i="4"/>
  <c r="F30" i="4"/>
  <c r="G26" i="4"/>
  <c r="F44" i="4"/>
  <c r="F29" i="4"/>
  <c r="F14" i="4"/>
  <c r="D42" i="4"/>
  <c r="F42" i="4" s="1"/>
  <c r="G42" i="4"/>
  <c r="D55" i="4"/>
  <c r="F55" i="4" s="1"/>
  <c r="G55" i="4"/>
  <c r="G56" i="4"/>
  <c r="D56" i="4"/>
  <c r="F56" i="4" s="1"/>
  <c r="D69" i="4"/>
  <c r="F28" i="4"/>
  <c r="D40" i="4"/>
  <c r="F40" i="4" s="1"/>
  <c r="G40" i="4"/>
  <c r="D58" i="4"/>
  <c r="F58" i="4" s="1"/>
  <c r="G58" i="4"/>
  <c r="F72" i="4"/>
  <c r="G73" i="4"/>
  <c r="D59" i="4"/>
  <c r="F59" i="4" s="1"/>
  <c r="G59" i="4"/>
  <c r="F69" i="4" l="1"/>
  <c r="G69" i="4"/>
</calcChain>
</file>

<file path=xl/sharedStrings.xml><?xml version="1.0" encoding="utf-8"?>
<sst xmlns="http://schemas.openxmlformats.org/spreadsheetml/2006/main" count="186" uniqueCount="54">
  <si>
    <t>2020 год</t>
  </si>
  <si>
    <t>- расчет по фактическим данным</t>
  </si>
  <si>
    <t>80/20</t>
  </si>
  <si>
    <t>Всего НДФЛ</t>
  </si>
  <si>
    <t>Дотация на выравнивание</t>
  </si>
  <si>
    <t>85/15</t>
  </si>
  <si>
    <t>90/10</t>
  </si>
  <si>
    <t>95/5</t>
  </si>
  <si>
    <t>100/0</t>
  </si>
  <si>
    <t>1</t>
  </si>
  <si>
    <t>2</t>
  </si>
  <si>
    <t>3</t>
  </si>
  <si>
    <t>4</t>
  </si>
  <si>
    <t>5</t>
  </si>
  <si>
    <t>Итого доход района</t>
  </si>
  <si>
    <t>Соотношение  НДФЛ по доп. нормативу к дотации</t>
  </si>
  <si>
    <t>2021 год</t>
  </si>
  <si>
    <t>НДФЛ, поступающий в район по доп. нормативу</t>
  </si>
  <si>
    <t>- дотация на выравнивание по нормативу 20% (факт) (ф.317)</t>
  </si>
  <si>
    <t>- НДФЛ, поступающий в район за год (факт) (ф.317)</t>
  </si>
  <si>
    <t>Таблица 4</t>
  </si>
  <si>
    <t>НДФЛ, поступающий в район по осн. Норм. Справочно</t>
  </si>
  <si>
    <t>Дотация + доп.норматив</t>
  </si>
  <si>
    <t>- НДФЛ, поступающий в район по основному нормативу (факт)(ф.551)</t>
  </si>
  <si>
    <t>- НДФЛ, поступающий в район по основному нормативу (факт) (ф.551)</t>
  </si>
  <si>
    <t>- дотация на выравнивание по нормативу 15% (факт) (ф.317)</t>
  </si>
  <si>
    <t>2022 год</t>
  </si>
  <si>
    <t>2023 год</t>
  </si>
  <si>
    <t>- расчет по прогнозным данным (Округ)</t>
  </si>
  <si>
    <t>Таблица 1</t>
  </si>
  <si>
    <t>Таблица 2</t>
  </si>
  <si>
    <t>Таблица 3</t>
  </si>
  <si>
    <t>2024 год</t>
  </si>
  <si>
    <t>2025 год</t>
  </si>
  <si>
    <t>Таблица 5</t>
  </si>
  <si>
    <t>Таблица 6</t>
  </si>
  <si>
    <t>Приложение 1</t>
  </si>
  <si>
    <t>Расчет влиния на общий доход округа соотношения доп. норматива НДФЛ к дотации на выравнивание</t>
  </si>
  <si>
    <t>- НДФЛ, поступающий в округ по основному нормативу (план)</t>
  </si>
  <si>
    <t>- дотация на выравнивание по нормативу 10% (факт) (ф.317)</t>
  </si>
  <si>
    <t>- НДФЛ, поступающий в округ за год (факт) (ф.317)</t>
  </si>
  <si>
    <t>- НДФЛ, поступающий в округ по основному нормативу (факт) (ф.551)</t>
  </si>
  <si>
    <t>- расчет по фактическим данным (Округ)</t>
  </si>
  <si>
    <t>- дотация на выравнивание по нормативу 20% (план)</t>
  </si>
  <si>
    <t>- НДФЛ, поступающий в округ за год (план)</t>
  </si>
  <si>
    <t>НДФЛ, поступающий в округ по доп. нормативу</t>
  </si>
  <si>
    <t>Таблица 7</t>
  </si>
  <si>
    <t>2026 год</t>
  </si>
  <si>
    <t>2027 год</t>
  </si>
  <si>
    <t>Таблица 8</t>
  </si>
  <si>
    <t>НДФЛ, поступающий в округ по осн. Норм. Справочно</t>
  </si>
  <si>
    <t>Итого доход оурцга</t>
  </si>
  <si>
    <t>Итого доход  округ</t>
  </si>
  <si>
    <t>Итого доход округ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</si>
</sst>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justify"/>
    </xf>
    <xf numFmtId="0" fontId="2" fillId="0" borderId="0" xfId="0" applyFont="1"/>
    <xf numFmtId="49" fontId="2" fillId="0" borderId="0" xfId="0" applyNumberFormat="1" applyFont="1"/>
    <xf numFmtId="3" fontId="1" fillId="0" borderId="0" xfId="0" applyNumberFormat="1" applyFont="1"/>
    <xf numFmtId="49" fontId="1" fillId="0" borderId="0" xfId="0" applyNumberFormat="1" applyFont="1"/>
    <xf numFmtId="49" fontId="1" fillId="0" borderId="2" xfId="0" applyNumberFormat="1" applyFont="1" applyBorder="1" applyAlignment="1">
      <alignment horizontal="center" vertical="justify"/>
    </xf>
    <xf numFmtId="49" fontId="1" fillId="0" borderId="3" xfId="0" applyNumberFormat="1" applyFont="1" applyBorder="1" applyAlignment="1">
      <alignment horizontal="center" vertical="justify"/>
    </xf>
    <xf numFmtId="49" fontId="1" fillId="0" borderId="1" xfId="0" applyNumberFormat="1" applyFont="1" applyBorder="1" applyAlignment="1">
      <alignment horizontal="center" vertical="justify"/>
    </xf>
    <xf numFmtId="49" fontId="1" fillId="0" borderId="6" xfId="0" applyNumberFormat="1" applyFont="1" applyBorder="1" applyAlignment="1">
      <alignment horizontal="center" vertical="justify"/>
    </xf>
    <xf numFmtId="49" fontId="1" fillId="0" borderId="7" xfId="0" applyNumberFormat="1" applyFont="1" applyBorder="1" applyAlignment="1">
      <alignment horizontal="center" vertical="justify"/>
    </xf>
    <xf numFmtId="0" fontId="1" fillId="0" borderId="1" xfId="0" applyFont="1" applyBorder="1" applyAlignment="1">
      <alignment horizontal="center"/>
    </xf>
    <xf numFmtId="49" fontId="2" fillId="0" borderId="2" xfId="0" applyNumberFormat="1" applyFont="1" applyBorder="1" applyAlignment="1">
      <alignment horizontal="center"/>
    </xf>
    <xf numFmtId="3" fontId="1" fillId="0" borderId="6" xfId="0" applyNumberFormat="1" applyFont="1" applyBorder="1"/>
    <xf numFmtId="3" fontId="1" fillId="0" borderId="8" xfId="0" applyNumberFormat="1" applyFont="1" applyBorder="1" applyAlignment="1">
      <alignment vertical="center"/>
    </xf>
    <xf numFmtId="3" fontId="2" fillId="0" borderId="3" xfId="0" applyNumberFormat="1" applyFont="1" applyBorder="1"/>
    <xf numFmtId="3" fontId="2" fillId="0" borderId="1" xfId="0" applyNumberFormat="1" applyFont="1" applyBorder="1"/>
    <xf numFmtId="49" fontId="1" fillId="0" borderId="2" xfId="0" applyNumberFormat="1" applyFont="1" applyBorder="1" applyAlignment="1">
      <alignment horizontal="center"/>
    </xf>
    <xf numFmtId="3" fontId="1" fillId="0" borderId="9" xfId="0" applyNumberFormat="1" applyFont="1" applyBorder="1" applyAlignment="1">
      <alignment vertical="center"/>
    </xf>
    <xf numFmtId="3" fontId="1" fillId="0" borderId="3" xfId="0" applyNumberFormat="1" applyFont="1" applyBorder="1"/>
    <xf numFmtId="3" fontId="1" fillId="0" borderId="1" xfId="0" applyNumberFormat="1" applyFont="1" applyBorder="1"/>
    <xf numFmtId="3" fontId="1" fillId="0" borderId="10" xfId="0" applyNumberFormat="1" applyFont="1" applyBorder="1"/>
    <xf numFmtId="3" fontId="1" fillId="0" borderId="11" xfId="0" applyNumberFormat="1" applyFont="1" applyBorder="1" applyAlignment="1">
      <alignment vertical="center"/>
    </xf>
    <xf numFmtId="49" fontId="1" fillId="0" borderId="0" xfId="0" applyNumberFormat="1" applyFont="1" applyAlignment="1">
      <alignment vertical="justify"/>
    </xf>
    <xf numFmtId="49" fontId="1" fillId="0" borderId="0" xfId="0" applyNumberFormat="1" applyFont="1" applyAlignment="1">
      <alignment horizontal="center" vertical="justify"/>
    </xf>
    <xf numFmtId="49" fontId="1" fillId="0" borderId="0" xfId="0" applyNumberFormat="1" applyFont="1" applyBorder="1" applyAlignment="1">
      <alignment horizontal="center"/>
    </xf>
    <xf numFmtId="3" fontId="1" fillId="0" borderId="0" xfId="0" applyNumberFormat="1" applyFont="1" applyBorder="1"/>
    <xf numFmtId="3" fontId="1" fillId="0" borderId="0" xfId="0" applyNumberFormat="1" applyFont="1" applyBorder="1" applyAlignment="1">
      <alignment vertical="center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49" fontId="1" fillId="0" borderId="5" xfId="0" applyNumberFormat="1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3" fontId="2" fillId="0" borderId="6" xfId="0" applyNumberFormat="1" applyFont="1" applyBorder="1"/>
    <xf numFmtId="3" fontId="2" fillId="0" borderId="8" xfId="0" applyNumberFormat="1" applyFont="1" applyBorder="1" applyAlignment="1">
      <alignment vertical="center"/>
    </xf>
    <xf numFmtId="0" fontId="3" fillId="0" borderId="0" xfId="0" applyFont="1" applyAlignment="1">
      <alignment vertical="top"/>
    </xf>
    <xf numFmtId="0" fontId="1" fillId="0" borderId="0" xfId="0" applyFont="1" applyAlignment="1">
      <alignment horizontal="center" vertical="justify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116"/>
  <sheetViews>
    <sheetView tabSelected="1" topLeftCell="A91" workbookViewId="0">
      <selection activeCell="A104" sqref="A104"/>
    </sheetView>
  </sheetViews>
  <sheetFormatPr defaultColWidth="9.140625" defaultRowHeight="15.75" x14ac:dyDescent="0.25"/>
  <cols>
    <col min="1" max="1" width="15.140625" style="1" customWidth="1"/>
    <col min="2" max="2" width="14.7109375" style="1" customWidth="1"/>
    <col min="3" max="3" width="12.5703125" style="1" customWidth="1"/>
    <col min="4" max="4" width="12.42578125" style="1" bestFit="1" customWidth="1"/>
    <col min="5" max="5" width="16.28515625" style="1" customWidth="1"/>
    <col min="6" max="7" width="12.42578125" style="1" bestFit="1" customWidth="1"/>
    <col min="8" max="8" width="9.140625" style="1"/>
    <col min="9" max="9" width="12.42578125" style="1" customWidth="1"/>
    <col min="10" max="16384" width="9.140625" style="1"/>
  </cols>
  <sheetData>
    <row r="2" spans="1:7" ht="31.5" customHeight="1" x14ac:dyDescent="0.25">
      <c r="B2" s="38" t="s">
        <v>37</v>
      </c>
      <c r="C2" s="38"/>
      <c r="D2" s="38"/>
      <c r="E2" s="38"/>
      <c r="G2" s="37" t="s">
        <v>36</v>
      </c>
    </row>
    <row r="3" spans="1:7" x14ac:dyDescent="0.25">
      <c r="B3" s="2"/>
      <c r="C3" s="2"/>
      <c r="D3" s="2"/>
      <c r="E3" s="2"/>
    </row>
    <row r="4" spans="1:7" hidden="1" x14ac:dyDescent="0.25">
      <c r="A4" s="3" t="s">
        <v>0</v>
      </c>
      <c r="B4" s="4" t="s">
        <v>1</v>
      </c>
      <c r="C4" s="3"/>
    </row>
    <row r="5" spans="1:7" hidden="1" x14ac:dyDescent="0.25"/>
    <row r="6" spans="1:7" hidden="1" x14ac:dyDescent="0.25">
      <c r="A6" s="5">
        <v>79895722</v>
      </c>
      <c r="B6" s="6" t="s">
        <v>18</v>
      </c>
    </row>
    <row r="7" spans="1:7" hidden="1" x14ac:dyDescent="0.25">
      <c r="A7" s="5">
        <v>12743120</v>
      </c>
      <c r="B7" s="6" t="s">
        <v>23</v>
      </c>
    </row>
    <row r="8" spans="1:7" hidden="1" x14ac:dyDescent="0.25">
      <c r="A8" s="5">
        <v>140881474</v>
      </c>
      <c r="B8" s="6" t="s">
        <v>19</v>
      </c>
    </row>
    <row r="9" spans="1:7" ht="16.5" hidden="1" thickBot="1" x14ac:dyDescent="0.3">
      <c r="B9" s="6"/>
      <c r="F9" s="1" t="s">
        <v>29</v>
      </c>
    </row>
    <row r="10" spans="1:7" ht="94.5" hidden="1" x14ac:dyDescent="0.25">
      <c r="A10" s="34" t="s">
        <v>15</v>
      </c>
      <c r="B10" s="30" t="s">
        <v>17</v>
      </c>
      <c r="C10" s="31" t="s">
        <v>21</v>
      </c>
      <c r="D10" s="32" t="s">
        <v>3</v>
      </c>
      <c r="E10" s="29" t="s">
        <v>4</v>
      </c>
      <c r="F10" s="29" t="s">
        <v>14</v>
      </c>
      <c r="G10" s="33" t="s">
        <v>22</v>
      </c>
    </row>
    <row r="11" spans="1:7" hidden="1" x14ac:dyDescent="0.25">
      <c r="A11" s="7"/>
      <c r="B11" s="10" t="s">
        <v>9</v>
      </c>
      <c r="C11" s="11" t="s">
        <v>10</v>
      </c>
      <c r="D11" s="8" t="s">
        <v>11</v>
      </c>
      <c r="E11" s="9" t="s">
        <v>12</v>
      </c>
      <c r="F11" s="9" t="s">
        <v>13</v>
      </c>
      <c r="G11" s="12">
        <v>6</v>
      </c>
    </row>
    <row r="12" spans="1:7" hidden="1" x14ac:dyDescent="0.25">
      <c r="A12" s="13" t="s">
        <v>2</v>
      </c>
      <c r="B12" s="14">
        <f>A8-A7</f>
        <v>128138354</v>
      </c>
      <c r="C12" s="15">
        <f>A7</f>
        <v>12743120</v>
      </c>
      <c r="D12" s="16">
        <f>B12+C12</f>
        <v>140881474</v>
      </c>
      <c r="E12" s="17">
        <f>A6</f>
        <v>79895722</v>
      </c>
      <c r="F12" s="17">
        <f>SUM(D12:E12)</f>
        <v>220777196</v>
      </c>
      <c r="G12" s="17">
        <f>B12+E12</f>
        <v>208034076</v>
      </c>
    </row>
    <row r="13" spans="1:7" hidden="1" x14ac:dyDescent="0.25">
      <c r="A13" s="18" t="s">
        <v>5</v>
      </c>
      <c r="B13" s="14">
        <f>B12*100/80*85%</f>
        <v>136147001.125</v>
      </c>
      <c r="C13" s="19"/>
      <c r="D13" s="20">
        <f>B13+C12</f>
        <v>148890121.125</v>
      </c>
      <c r="E13" s="21">
        <f>E12*100/20*15%</f>
        <v>59921791.5</v>
      </c>
      <c r="F13" s="21">
        <f t="shared" ref="F13:F16" si="0">SUM(D13:E13)</f>
        <v>208811912.625</v>
      </c>
      <c r="G13" s="21">
        <f t="shared" ref="G13:G16" si="1">B13+E13</f>
        <v>196068792.625</v>
      </c>
    </row>
    <row r="14" spans="1:7" hidden="1" x14ac:dyDescent="0.25">
      <c r="A14" s="18" t="s">
        <v>6</v>
      </c>
      <c r="B14" s="14">
        <f>B12*100/80*90%</f>
        <v>144155648.25</v>
      </c>
      <c r="C14" s="19"/>
      <c r="D14" s="20">
        <f>B14+C12</f>
        <v>156898768.25</v>
      </c>
      <c r="E14" s="21">
        <f>E12*100/20*10%</f>
        <v>39947861</v>
      </c>
      <c r="F14" s="21">
        <f t="shared" si="0"/>
        <v>196846629.25</v>
      </c>
      <c r="G14" s="21">
        <f t="shared" si="1"/>
        <v>184103509.25</v>
      </c>
    </row>
    <row r="15" spans="1:7" hidden="1" x14ac:dyDescent="0.25">
      <c r="A15" s="18" t="s">
        <v>7</v>
      </c>
      <c r="B15" s="14">
        <f>B12*100/80*95%</f>
        <v>152164295.375</v>
      </c>
      <c r="C15" s="19"/>
      <c r="D15" s="20">
        <f>B15+C12</f>
        <v>164907415.375</v>
      </c>
      <c r="E15" s="21">
        <f>E12*100/20*5%</f>
        <v>19973930.5</v>
      </c>
      <c r="F15" s="21">
        <f t="shared" si="0"/>
        <v>184881345.875</v>
      </c>
      <c r="G15" s="21">
        <f t="shared" si="1"/>
        <v>172138225.875</v>
      </c>
    </row>
    <row r="16" spans="1:7" ht="16.5" hidden="1" thickBot="1" x14ac:dyDescent="0.3">
      <c r="A16" s="18" t="s">
        <v>8</v>
      </c>
      <c r="B16" s="22">
        <f>B12*100/80*100%</f>
        <v>160172942.5</v>
      </c>
      <c r="C16" s="23"/>
      <c r="D16" s="20">
        <f>B16+C12</f>
        <v>172916062.5</v>
      </c>
      <c r="E16" s="21">
        <f>E12*100/20*0%</f>
        <v>0</v>
      </c>
      <c r="F16" s="21">
        <f t="shared" si="0"/>
        <v>172916062.5</v>
      </c>
      <c r="G16" s="21">
        <f t="shared" si="1"/>
        <v>160172942.5</v>
      </c>
    </row>
    <row r="18" spans="1:8" x14ac:dyDescent="0.25">
      <c r="A18" s="3" t="s">
        <v>16</v>
      </c>
      <c r="B18" s="4" t="s">
        <v>1</v>
      </c>
      <c r="C18" s="3"/>
    </row>
    <row r="20" spans="1:8" x14ac:dyDescent="0.25">
      <c r="A20" s="5">
        <v>70173263</v>
      </c>
      <c r="B20" s="6" t="s">
        <v>25</v>
      </c>
    </row>
    <row r="21" spans="1:8" x14ac:dyDescent="0.25">
      <c r="A21" s="5">
        <v>13784580</v>
      </c>
      <c r="B21" s="6" t="s">
        <v>24</v>
      </c>
    </row>
    <row r="22" spans="1:8" x14ac:dyDescent="0.25">
      <c r="A22" s="5">
        <v>149424334.63</v>
      </c>
      <c r="B22" s="6" t="s">
        <v>19</v>
      </c>
    </row>
    <row r="23" spans="1:8" ht="16.5" thickBot="1" x14ac:dyDescent="0.3">
      <c r="B23" s="6"/>
      <c r="F23" s="1" t="s">
        <v>30</v>
      </c>
    </row>
    <row r="24" spans="1:8" s="24" customFormat="1" ht="94.5" x14ac:dyDescent="0.25">
      <c r="A24" s="34" t="s">
        <v>15</v>
      </c>
      <c r="B24" s="30" t="s">
        <v>17</v>
      </c>
      <c r="C24" s="31" t="s">
        <v>21</v>
      </c>
      <c r="D24" s="32" t="s">
        <v>3</v>
      </c>
      <c r="E24" s="29" t="s">
        <v>4</v>
      </c>
      <c r="F24" s="29" t="s">
        <v>14</v>
      </c>
      <c r="G24" s="33" t="s">
        <v>22</v>
      </c>
    </row>
    <row r="25" spans="1:8" s="24" customFormat="1" x14ac:dyDescent="0.25">
      <c r="A25" s="7"/>
      <c r="B25" s="10" t="s">
        <v>9</v>
      </c>
      <c r="C25" s="11" t="s">
        <v>10</v>
      </c>
      <c r="D25" s="8" t="s">
        <v>11</v>
      </c>
      <c r="E25" s="9" t="s">
        <v>12</v>
      </c>
      <c r="F25" s="9" t="s">
        <v>13</v>
      </c>
      <c r="G25" s="12">
        <v>6</v>
      </c>
      <c r="H25" s="25"/>
    </row>
    <row r="26" spans="1:8" x14ac:dyDescent="0.25">
      <c r="A26" s="18" t="s">
        <v>2</v>
      </c>
      <c r="B26" s="14">
        <f>B27*100/85*80%</f>
        <v>127660945.53411765</v>
      </c>
      <c r="C26" s="15">
        <f>A21</f>
        <v>13784580</v>
      </c>
      <c r="D26" s="20">
        <f>B26+C26</f>
        <v>141445525.53411764</v>
      </c>
      <c r="E26" s="21">
        <f>E27*100/15*20%</f>
        <v>93564350.666666672</v>
      </c>
      <c r="F26" s="21">
        <f>SUM(D26:E26)</f>
        <v>235009876.20078433</v>
      </c>
      <c r="G26" s="21">
        <f>B26+E26</f>
        <v>221225296.20078433</v>
      </c>
    </row>
    <row r="27" spans="1:8" x14ac:dyDescent="0.25">
      <c r="A27" s="13" t="s">
        <v>5</v>
      </c>
      <c r="B27" s="14">
        <f>A22-A21</f>
        <v>135639754.63</v>
      </c>
      <c r="C27" s="19"/>
      <c r="D27" s="16">
        <f>B27+C26</f>
        <v>149424334.63</v>
      </c>
      <c r="E27" s="17">
        <f>A20</f>
        <v>70173263</v>
      </c>
      <c r="F27" s="17">
        <f t="shared" ref="F27:F30" si="2">SUM(D27:E27)</f>
        <v>219597597.63</v>
      </c>
      <c r="G27" s="17">
        <f t="shared" ref="G27:G30" si="3">B27+E27</f>
        <v>205813017.63</v>
      </c>
    </row>
    <row r="28" spans="1:8" x14ac:dyDescent="0.25">
      <c r="A28" s="18" t="s">
        <v>6</v>
      </c>
      <c r="B28" s="14">
        <f>B27*100/85*90%</f>
        <v>143618563.72588235</v>
      </c>
      <c r="C28" s="19"/>
      <c r="D28" s="20">
        <f>B28+C26</f>
        <v>157403143.72588235</v>
      </c>
      <c r="E28" s="21">
        <f>E27*100/15*10%</f>
        <v>46782175.333333336</v>
      </c>
      <c r="F28" s="21">
        <f t="shared" si="2"/>
        <v>204185319.05921569</v>
      </c>
      <c r="G28" s="21">
        <f t="shared" si="3"/>
        <v>190400739.05921569</v>
      </c>
    </row>
    <row r="29" spans="1:8" x14ac:dyDescent="0.25">
      <c r="A29" s="18" t="s">
        <v>7</v>
      </c>
      <c r="B29" s="14">
        <f>B27*100/85*95%</f>
        <v>151597372.82176471</v>
      </c>
      <c r="C29" s="19"/>
      <c r="D29" s="20">
        <f>B29+C26</f>
        <v>165381952.82176471</v>
      </c>
      <c r="E29" s="21">
        <f>E27*100/15*5%</f>
        <v>23391087.666666668</v>
      </c>
      <c r="F29" s="21">
        <f t="shared" si="2"/>
        <v>188773040.48843136</v>
      </c>
      <c r="G29" s="21">
        <f t="shared" si="3"/>
        <v>174988460.48843136</v>
      </c>
    </row>
    <row r="30" spans="1:8" ht="16.5" thickBot="1" x14ac:dyDescent="0.3">
      <c r="A30" s="18" t="s">
        <v>8</v>
      </c>
      <c r="B30" s="22">
        <f>B27*100/85*100%</f>
        <v>159576181.91764706</v>
      </c>
      <c r="C30" s="23"/>
      <c r="D30" s="20">
        <f>B30+C26</f>
        <v>173360761.91764706</v>
      </c>
      <c r="E30" s="21">
        <f>E27*100/15*0%</f>
        <v>0</v>
      </c>
      <c r="F30" s="21">
        <f t="shared" si="2"/>
        <v>173360761.91764706</v>
      </c>
      <c r="G30" s="21">
        <f t="shared" si="3"/>
        <v>159576181.91764706</v>
      </c>
    </row>
    <row r="31" spans="1:8" x14ac:dyDescent="0.25">
      <c r="A31" s="6"/>
    </row>
    <row r="32" spans="1:8" x14ac:dyDescent="0.25">
      <c r="A32" s="3" t="s">
        <v>26</v>
      </c>
      <c r="B32" s="4" t="s">
        <v>1</v>
      </c>
      <c r="C32" s="3"/>
    </row>
    <row r="34" spans="1:7" x14ac:dyDescent="0.25">
      <c r="A34" s="5">
        <v>131258692</v>
      </c>
      <c r="B34" s="6" t="s">
        <v>25</v>
      </c>
    </row>
    <row r="35" spans="1:7" x14ac:dyDescent="0.25">
      <c r="A35" s="5">
        <v>19081390</v>
      </c>
      <c r="B35" s="6" t="s">
        <v>24</v>
      </c>
    </row>
    <row r="36" spans="1:7" x14ac:dyDescent="0.25">
      <c r="A36" s="5">
        <v>194794934.43000001</v>
      </c>
      <c r="B36" s="6" t="s">
        <v>19</v>
      </c>
    </row>
    <row r="37" spans="1:7" ht="31.5" customHeight="1" thickBot="1" x14ac:dyDescent="0.3">
      <c r="B37" s="6"/>
      <c r="F37" s="1" t="s">
        <v>31</v>
      </c>
    </row>
    <row r="38" spans="1:7" ht="94.5" x14ac:dyDescent="0.25">
      <c r="A38" s="34" t="s">
        <v>15</v>
      </c>
      <c r="B38" s="30" t="s">
        <v>17</v>
      </c>
      <c r="C38" s="31" t="s">
        <v>21</v>
      </c>
      <c r="D38" s="32" t="s">
        <v>3</v>
      </c>
      <c r="E38" s="29" t="s">
        <v>4</v>
      </c>
      <c r="F38" s="29" t="s">
        <v>14</v>
      </c>
      <c r="G38" s="33" t="s">
        <v>22</v>
      </c>
    </row>
    <row r="39" spans="1:7" x14ac:dyDescent="0.25">
      <c r="A39" s="7"/>
      <c r="B39" s="10" t="s">
        <v>9</v>
      </c>
      <c r="C39" s="11" t="s">
        <v>10</v>
      </c>
      <c r="D39" s="8" t="s">
        <v>11</v>
      </c>
      <c r="E39" s="9" t="s">
        <v>12</v>
      </c>
      <c r="F39" s="9" t="s">
        <v>13</v>
      </c>
      <c r="G39" s="12">
        <v>6</v>
      </c>
    </row>
    <row r="40" spans="1:7" x14ac:dyDescent="0.25">
      <c r="A40" s="18" t="s">
        <v>2</v>
      </c>
      <c r="B40" s="14">
        <f>B41*100/85*80%</f>
        <v>165377453.58117649</v>
      </c>
      <c r="C40" s="15">
        <f>A35</f>
        <v>19081390</v>
      </c>
      <c r="D40" s="20">
        <f>B40+C40</f>
        <v>184458843.58117649</v>
      </c>
      <c r="E40" s="21">
        <f>E41*100/15*20%</f>
        <v>175011589.33333334</v>
      </c>
      <c r="F40" s="21">
        <f>SUM(D40:E40)</f>
        <v>359470432.91450983</v>
      </c>
      <c r="G40" s="21">
        <f>B40+E40</f>
        <v>340389042.91450983</v>
      </c>
    </row>
    <row r="41" spans="1:7" x14ac:dyDescent="0.25">
      <c r="A41" s="13" t="s">
        <v>5</v>
      </c>
      <c r="B41" s="14">
        <f>A36-A35</f>
        <v>175713544.43000001</v>
      </c>
      <c r="C41" s="19"/>
      <c r="D41" s="16">
        <f>B41+C40</f>
        <v>194794934.43000001</v>
      </c>
      <c r="E41" s="17">
        <f>A34</f>
        <v>131258692</v>
      </c>
      <c r="F41" s="17">
        <f t="shared" ref="F41:F44" si="4">SUM(D41:E41)</f>
        <v>326053626.43000001</v>
      </c>
      <c r="G41" s="17">
        <f t="shared" ref="G41:G44" si="5">B41+E41</f>
        <v>306972236.43000001</v>
      </c>
    </row>
    <row r="42" spans="1:7" x14ac:dyDescent="0.25">
      <c r="A42" s="18" t="s">
        <v>6</v>
      </c>
      <c r="B42" s="14">
        <f>B41*100/85*90%</f>
        <v>186049635.27882352</v>
      </c>
      <c r="C42" s="19"/>
      <c r="D42" s="20">
        <f>B42+C40</f>
        <v>205131025.27882352</v>
      </c>
      <c r="E42" s="21">
        <f>E41*100/15*10%</f>
        <v>87505794.666666672</v>
      </c>
      <c r="F42" s="21">
        <f t="shared" si="4"/>
        <v>292636819.94549018</v>
      </c>
      <c r="G42" s="21">
        <f t="shared" si="5"/>
        <v>273555429.94549018</v>
      </c>
    </row>
    <row r="43" spans="1:7" x14ac:dyDescent="0.25">
      <c r="A43" s="18" t="s">
        <v>7</v>
      </c>
      <c r="B43" s="14">
        <f>B41*100/85*95%</f>
        <v>196385726.12764704</v>
      </c>
      <c r="C43" s="19"/>
      <c r="D43" s="20">
        <f>B43+C40</f>
        <v>215467116.12764704</v>
      </c>
      <c r="E43" s="21">
        <f>E41*100/15*5%</f>
        <v>43752897.333333336</v>
      </c>
      <c r="F43" s="21">
        <f t="shared" si="4"/>
        <v>259220013.46098039</v>
      </c>
      <c r="G43" s="21">
        <f t="shared" si="5"/>
        <v>240138623.46098039</v>
      </c>
    </row>
    <row r="44" spans="1:7" ht="16.5" thickBot="1" x14ac:dyDescent="0.3">
      <c r="A44" s="18" t="s">
        <v>8</v>
      </c>
      <c r="B44" s="22">
        <f>B41*100/85*100%</f>
        <v>206721816.97647059</v>
      </c>
      <c r="C44" s="23"/>
      <c r="D44" s="20">
        <f>B44+C40</f>
        <v>225803206.97647059</v>
      </c>
      <c r="E44" s="21">
        <f>E41*100/15*0%</f>
        <v>0</v>
      </c>
      <c r="F44" s="21">
        <f t="shared" si="4"/>
        <v>225803206.97647059</v>
      </c>
      <c r="G44" s="21">
        <f t="shared" si="5"/>
        <v>206721816.97647059</v>
      </c>
    </row>
    <row r="45" spans="1:7" x14ac:dyDescent="0.25">
      <c r="A45" s="26"/>
      <c r="B45" s="27"/>
      <c r="C45" s="28"/>
      <c r="D45" s="27"/>
      <c r="E45" s="27"/>
      <c r="F45" s="27"/>
      <c r="G45" s="27"/>
    </row>
    <row r="46" spans="1:7" x14ac:dyDescent="0.25">
      <c r="A46" s="26"/>
      <c r="B46" s="27"/>
      <c r="C46" s="28"/>
      <c r="D46" s="27"/>
      <c r="E46" s="27"/>
      <c r="F46" s="27"/>
      <c r="G46" s="27"/>
    </row>
    <row r="47" spans="1:7" x14ac:dyDescent="0.25">
      <c r="A47" s="3" t="s">
        <v>27</v>
      </c>
      <c r="B47" s="4" t="s">
        <v>42</v>
      </c>
      <c r="C47" s="3"/>
    </row>
    <row r="49" spans="1:7" x14ac:dyDescent="0.25">
      <c r="A49" s="5">
        <v>98719459</v>
      </c>
      <c r="B49" s="6" t="s">
        <v>39</v>
      </c>
    </row>
    <row r="50" spans="1:7" x14ac:dyDescent="0.25">
      <c r="A50" s="5">
        <v>25547565.690000001</v>
      </c>
      <c r="B50" s="6" t="s">
        <v>41</v>
      </c>
    </row>
    <row r="51" spans="1:7" x14ac:dyDescent="0.25">
      <c r="A51" s="5">
        <v>170464747.05000001</v>
      </c>
      <c r="B51" s="6" t="s">
        <v>40</v>
      </c>
    </row>
    <row r="52" spans="1:7" ht="16.5" thickBot="1" x14ac:dyDescent="0.3">
      <c r="B52" s="6"/>
      <c r="F52" s="1" t="s">
        <v>20</v>
      </c>
    </row>
    <row r="53" spans="1:7" ht="94.5" x14ac:dyDescent="0.25">
      <c r="A53" s="34" t="s">
        <v>15</v>
      </c>
      <c r="B53" s="30" t="s">
        <v>45</v>
      </c>
      <c r="C53" s="31" t="s">
        <v>50</v>
      </c>
      <c r="D53" s="32" t="s">
        <v>3</v>
      </c>
      <c r="E53" s="29" t="s">
        <v>4</v>
      </c>
      <c r="F53" s="29" t="s">
        <v>51</v>
      </c>
      <c r="G53" s="33" t="s">
        <v>22</v>
      </c>
    </row>
    <row r="54" spans="1:7" x14ac:dyDescent="0.25">
      <c r="A54" s="7"/>
      <c r="B54" s="10" t="s">
        <v>9</v>
      </c>
      <c r="C54" s="11" t="s">
        <v>10</v>
      </c>
      <c r="D54" s="8" t="s">
        <v>11</v>
      </c>
      <c r="E54" s="9" t="s">
        <v>12</v>
      </c>
      <c r="F54" s="9" t="s">
        <v>13</v>
      </c>
      <c r="G54" s="12">
        <v>6</v>
      </c>
    </row>
    <row r="55" spans="1:7" x14ac:dyDescent="0.25">
      <c r="A55" s="18" t="s">
        <v>2</v>
      </c>
      <c r="B55" s="14">
        <f>B57*100/90*80%</f>
        <v>128815272.32000004</v>
      </c>
      <c r="C55" s="15">
        <f>A50</f>
        <v>25547565.690000001</v>
      </c>
      <c r="D55" s="20">
        <f>B55+C55</f>
        <v>154362838.01000005</v>
      </c>
      <c r="E55" s="21">
        <f>E57*100/10*20%</f>
        <v>197438918</v>
      </c>
      <c r="F55" s="21">
        <f>SUM(D55:E55)</f>
        <v>351801756.01000005</v>
      </c>
      <c r="G55" s="21">
        <f>B55+E55</f>
        <v>326254190.32000005</v>
      </c>
    </row>
    <row r="56" spans="1:7" x14ac:dyDescent="0.25">
      <c r="A56" s="18" t="s">
        <v>5</v>
      </c>
      <c r="B56" s="14">
        <f>B57*100/90*85%</f>
        <v>136866226.84000003</v>
      </c>
      <c r="C56" s="19"/>
      <c r="D56" s="20">
        <f>B56+C55</f>
        <v>162413792.53000003</v>
      </c>
      <c r="E56" s="21">
        <f>E57*100/10*15%</f>
        <v>148079188.5</v>
      </c>
      <c r="F56" s="21">
        <f t="shared" ref="F56:F59" si="6">SUM(D56:E56)</f>
        <v>310492981.03000003</v>
      </c>
      <c r="G56" s="21">
        <f t="shared" ref="G56:G59" si="7">B56+E56</f>
        <v>284945415.34000003</v>
      </c>
    </row>
    <row r="57" spans="1:7" x14ac:dyDescent="0.25">
      <c r="A57" s="13" t="s">
        <v>6</v>
      </c>
      <c r="B57" s="14">
        <f>A51-A50</f>
        <v>144917181.36000001</v>
      </c>
      <c r="C57" s="19"/>
      <c r="D57" s="16">
        <f>B57+C55</f>
        <v>170464747.05000001</v>
      </c>
      <c r="E57" s="17">
        <f>A49</f>
        <v>98719459</v>
      </c>
      <c r="F57" s="17">
        <f t="shared" si="6"/>
        <v>269184206.05000001</v>
      </c>
      <c r="G57" s="17">
        <f t="shared" si="7"/>
        <v>243636640.36000001</v>
      </c>
    </row>
    <row r="58" spans="1:7" x14ac:dyDescent="0.25">
      <c r="A58" s="18" t="s">
        <v>7</v>
      </c>
      <c r="B58" s="14">
        <f>B57*100/90*95%</f>
        <v>152968135.88000003</v>
      </c>
      <c r="C58" s="19"/>
      <c r="D58" s="20">
        <f>B58+C55</f>
        <v>178515701.57000002</v>
      </c>
      <c r="E58" s="21">
        <f>E57*100/10*5%</f>
        <v>49359729.5</v>
      </c>
      <c r="F58" s="21">
        <f t="shared" si="6"/>
        <v>227875431.07000002</v>
      </c>
      <c r="G58" s="21">
        <f t="shared" si="7"/>
        <v>202327865.38000003</v>
      </c>
    </row>
    <row r="59" spans="1:7" ht="16.5" thickBot="1" x14ac:dyDescent="0.3">
      <c r="A59" s="18" t="s">
        <v>8</v>
      </c>
      <c r="B59" s="22">
        <f>B57*100/90*100%</f>
        <v>161019090.40000004</v>
      </c>
      <c r="C59" s="23"/>
      <c r="D59" s="20">
        <f>B59+C55</f>
        <v>186566656.09000003</v>
      </c>
      <c r="E59" s="21">
        <f>E57*100/10*0%</f>
        <v>0</v>
      </c>
      <c r="F59" s="21">
        <f t="shared" si="6"/>
        <v>186566656.09000003</v>
      </c>
      <c r="G59" s="21">
        <f t="shared" si="7"/>
        <v>161019090.40000004</v>
      </c>
    </row>
    <row r="60" spans="1:7" x14ac:dyDescent="0.25">
      <c r="A60" s="26"/>
      <c r="B60" s="27"/>
      <c r="C60" s="28"/>
      <c r="D60" s="27"/>
      <c r="E60" s="27"/>
      <c r="F60" s="27"/>
      <c r="G60" s="27"/>
    </row>
    <row r="61" spans="1:7" x14ac:dyDescent="0.25">
      <c r="A61" s="3" t="s">
        <v>32</v>
      </c>
      <c r="B61" s="4" t="s">
        <v>42</v>
      </c>
      <c r="C61" s="3"/>
    </row>
    <row r="63" spans="1:7" x14ac:dyDescent="0.25">
      <c r="A63" s="5">
        <v>213963338</v>
      </c>
      <c r="B63" s="6" t="s">
        <v>18</v>
      </c>
    </row>
    <row r="64" spans="1:7" x14ac:dyDescent="0.25">
      <c r="A64" s="5">
        <v>32689730</v>
      </c>
      <c r="B64" s="6" t="s">
        <v>41</v>
      </c>
    </row>
    <row r="65" spans="1:7" x14ac:dyDescent="0.25">
      <c r="A65" s="5">
        <v>217947072</v>
      </c>
      <c r="B65" s="6" t="s">
        <v>40</v>
      </c>
    </row>
    <row r="66" spans="1:7" ht="16.5" thickBot="1" x14ac:dyDescent="0.3">
      <c r="B66" s="6"/>
      <c r="F66" s="1" t="s">
        <v>34</v>
      </c>
    </row>
    <row r="67" spans="1:7" ht="94.5" x14ac:dyDescent="0.25">
      <c r="A67" s="34" t="s">
        <v>15</v>
      </c>
      <c r="B67" s="30" t="s">
        <v>45</v>
      </c>
      <c r="C67" s="31" t="s">
        <v>50</v>
      </c>
      <c r="D67" s="32" t="s">
        <v>3</v>
      </c>
      <c r="E67" s="29" t="s">
        <v>4</v>
      </c>
      <c r="F67" s="29" t="s">
        <v>52</v>
      </c>
      <c r="G67" s="33" t="s">
        <v>22</v>
      </c>
    </row>
    <row r="68" spans="1:7" x14ac:dyDescent="0.25">
      <c r="A68" s="7"/>
      <c r="B68" s="10" t="s">
        <v>9</v>
      </c>
      <c r="C68" s="11" t="s">
        <v>10</v>
      </c>
      <c r="D68" s="8" t="s">
        <v>11</v>
      </c>
      <c r="E68" s="9" t="s">
        <v>12</v>
      </c>
      <c r="F68" s="9" t="s">
        <v>13</v>
      </c>
      <c r="G68" s="12">
        <v>6</v>
      </c>
    </row>
    <row r="69" spans="1:7" x14ac:dyDescent="0.25">
      <c r="A69" s="13" t="s">
        <v>2</v>
      </c>
      <c r="B69" s="35">
        <f>A65-A64</f>
        <v>185257342</v>
      </c>
      <c r="C69" s="36">
        <f>A64</f>
        <v>32689730</v>
      </c>
      <c r="D69" s="16">
        <f>B69+C69</f>
        <v>217947072</v>
      </c>
      <c r="E69" s="17">
        <f>A63</f>
        <v>213963338</v>
      </c>
      <c r="F69" s="17">
        <f>SUM(D69:E69)</f>
        <v>431910410</v>
      </c>
      <c r="G69" s="17">
        <f>B69+E69</f>
        <v>399220680</v>
      </c>
    </row>
    <row r="70" spans="1:7" x14ac:dyDescent="0.25">
      <c r="A70" s="18" t="s">
        <v>5</v>
      </c>
      <c r="B70" s="14">
        <f>B69*100/80*85%</f>
        <v>196835925.875</v>
      </c>
      <c r="C70" s="19"/>
      <c r="D70" s="20">
        <f>B70+C69</f>
        <v>229525655.875</v>
      </c>
      <c r="E70" s="21">
        <f>E69*100/20*15%</f>
        <v>160472503.5</v>
      </c>
      <c r="F70" s="21">
        <f t="shared" ref="F70:F73" si="8">SUM(D70:E70)</f>
        <v>389998159.375</v>
      </c>
      <c r="G70" s="21">
        <f t="shared" ref="G70:G73" si="9">B70+E70</f>
        <v>357308429.375</v>
      </c>
    </row>
    <row r="71" spans="1:7" x14ac:dyDescent="0.25">
      <c r="A71" s="18" t="s">
        <v>6</v>
      </c>
      <c r="B71" s="14">
        <f>B69*100/80*90%</f>
        <v>208414509.75</v>
      </c>
      <c r="C71" s="19"/>
      <c r="D71" s="20">
        <f>B71+C69</f>
        <v>241104239.75</v>
      </c>
      <c r="E71" s="21">
        <f>E69*100/20*10%</f>
        <v>106981669</v>
      </c>
      <c r="F71" s="21">
        <f t="shared" si="8"/>
        <v>348085908.75</v>
      </c>
      <c r="G71" s="21">
        <f t="shared" si="9"/>
        <v>315396178.75</v>
      </c>
    </row>
    <row r="72" spans="1:7" x14ac:dyDescent="0.25">
      <c r="A72" s="18" t="s">
        <v>7</v>
      </c>
      <c r="B72" s="14">
        <f>B71*100/80*95%</f>
        <v>247492230.328125</v>
      </c>
      <c r="C72" s="19"/>
      <c r="D72" s="20">
        <f>B72+C69</f>
        <v>280181960.328125</v>
      </c>
      <c r="E72" s="21">
        <f>E69*100/20*5%</f>
        <v>53490834.5</v>
      </c>
      <c r="F72" s="21">
        <f t="shared" si="8"/>
        <v>333672794.828125</v>
      </c>
      <c r="G72" s="21">
        <f t="shared" si="9"/>
        <v>300983064.828125</v>
      </c>
    </row>
    <row r="73" spans="1:7" ht="16.5" thickBot="1" x14ac:dyDescent="0.3">
      <c r="A73" s="18" t="s">
        <v>8</v>
      </c>
      <c r="B73" s="22">
        <f>B71*100/80*100%</f>
        <v>260518137.1875</v>
      </c>
      <c r="C73" s="23"/>
      <c r="D73" s="20">
        <f>B73+C69</f>
        <v>293207867.1875</v>
      </c>
      <c r="E73" s="21">
        <f>E69*100/20*0%</f>
        <v>0</v>
      </c>
      <c r="F73" s="21">
        <f t="shared" si="8"/>
        <v>293207867.1875</v>
      </c>
      <c r="G73" s="21">
        <f t="shared" si="9"/>
        <v>260518137.1875</v>
      </c>
    </row>
    <row r="74" spans="1:7" x14ac:dyDescent="0.25">
      <c r="A74" s="26"/>
      <c r="B74" s="27"/>
      <c r="C74" s="28"/>
      <c r="D74" s="27"/>
      <c r="E74" s="27"/>
      <c r="F74" s="27"/>
      <c r="G74" s="27"/>
    </row>
    <row r="76" spans="1:7" x14ac:dyDescent="0.25">
      <c r="A76" s="3" t="s">
        <v>33</v>
      </c>
      <c r="B76" s="4" t="s">
        <v>28</v>
      </c>
      <c r="C76" s="3"/>
    </row>
    <row r="78" spans="1:7" x14ac:dyDescent="0.25">
      <c r="A78" s="5">
        <v>254318038</v>
      </c>
      <c r="B78" s="6" t="s">
        <v>43</v>
      </c>
    </row>
    <row r="79" spans="1:7" x14ac:dyDescent="0.25">
      <c r="A79" s="5">
        <f>A80-A80*85%</f>
        <v>32466150</v>
      </c>
      <c r="B79" s="6" t="s">
        <v>38</v>
      </c>
    </row>
    <row r="80" spans="1:7" x14ac:dyDescent="0.25">
      <c r="A80" s="5">
        <v>216441000</v>
      </c>
      <c r="B80" s="6" t="s">
        <v>44</v>
      </c>
    </row>
    <row r="81" spans="1:7" ht="16.5" thickBot="1" x14ac:dyDescent="0.3">
      <c r="B81" s="6"/>
      <c r="F81" s="1" t="s">
        <v>35</v>
      </c>
    </row>
    <row r="82" spans="1:7" ht="94.5" x14ac:dyDescent="0.25">
      <c r="A82" s="34" t="s">
        <v>15</v>
      </c>
      <c r="B82" s="30" t="s">
        <v>45</v>
      </c>
      <c r="C82" s="31" t="s">
        <v>50</v>
      </c>
      <c r="D82" s="32" t="s">
        <v>3</v>
      </c>
      <c r="E82" s="29" t="s">
        <v>4</v>
      </c>
      <c r="F82" s="29" t="s">
        <v>52</v>
      </c>
      <c r="G82" s="33" t="s">
        <v>22</v>
      </c>
    </row>
    <row r="83" spans="1:7" x14ac:dyDescent="0.25">
      <c r="A83" s="7"/>
      <c r="B83" s="10" t="s">
        <v>9</v>
      </c>
      <c r="C83" s="11" t="s">
        <v>10</v>
      </c>
      <c r="D83" s="8" t="s">
        <v>11</v>
      </c>
      <c r="E83" s="9" t="s">
        <v>12</v>
      </c>
      <c r="F83" s="9" t="s">
        <v>13</v>
      </c>
      <c r="G83" s="12">
        <v>6</v>
      </c>
    </row>
    <row r="84" spans="1:7" x14ac:dyDescent="0.25">
      <c r="A84" s="13" t="s">
        <v>2</v>
      </c>
      <c r="B84" s="35">
        <f>A80-A79</f>
        <v>183974850</v>
      </c>
      <c r="C84" s="36">
        <f>A79</f>
        <v>32466150</v>
      </c>
      <c r="D84" s="16">
        <f>B84+C84</f>
        <v>216441000</v>
      </c>
      <c r="E84" s="17">
        <f>A78</f>
        <v>254318038</v>
      </c>
      <c r="F84" s="17">
        <f>SUM(D84:E84)</f>
        <v>470759038</v>
      </c>
      <c r="G84" s="17">
        <f>B84+E84</f>
        <v>438292888</v>
      </c>
    </row>
    <row r="85" spans="1:7" x14ac:dyDescent="0.25">
      <c r="A85" s="18" t="s">
        <v>5</v>
      </c>
      <c r="B85" s="14">
        <f>B84*100/80*85%</f>
        <v>195473278.125</v>
      </c>
      <c r="C85" s="19"/>
      <c r="D85" s="20">
        <f>B85+C84</f>
        <v>227939428.125</v>
      </c>
      <c r="E85" s="21">
        <f>E84*100/20*15%</f>
        <v>190738528.5</v>
      </c>
      <c r="F85" s="21">
        <f t="shared" ref="F85:F88" si="10">SUM(D85:E85)</f>
        <v>418677956.625</v>
      </c>
      <c r="G85" s="21">
        <f t="shared" ref="G85:G88" si="11">B85+E85</f>
        <v>386211806.625</v>
      </c>
    </row>
    <row r="86" spans="1:7" x14ac:dyDescent="0.25">
      <c r="A86" s="18" t="s">
        <v>6</v>
      </c>
      <c r="B86" s="14">
        <f>B84*100/80*90%</f>
        <v>206971706.25</v>
      </c>
      <c r="C86" s="19"/>
      <c r="D86" s="20">
        <f>B86+C84</f>
        <v>239437856.25</v>
      </c>
      <c r="E86" s="21">
        <f>E84*100/20*10%</f>
        <v>127159019</v>
      </c>
      <c r="F86" s="21">
        <f t="shared" si="10"/>
        <v>366596875.25</v>
      </c>
      <c r="G86" s="21">
        <f t="shared" si="11"/>
        <v>334130725.25</v>
      </c>
    </row>
    <row r="87" spans="1:7" x14ac:dyDescent="0.25">
      <c r="A87" s="18" t="s">
        <v>7</v>
      </c>
      <c r="B87" s="14">
        <f>B86*100/80*95%</f>
        <v>245778901.171875</v>
      </c>
      <c r="C87" s="19"/>
      <c r="D87" s="20">
        <f>B87+C84</f>
        <v>278245051.171875</v>
      </c>
      <c r="E87" s="21">
        <f>E84*100/20*5%</f>
        <v>63579509.5</v>
      </c>
      <c r="F87" s="21">
        <f t="shared" si="10"/>
        <v>341824560.671875</v>
      </c>
      <c r="G87" s="21">
        <f t="shared" si="11"/>
        <v>309358410.671875</v>
      </c>
    </row>
    <row r="88" spans="1:7" ht="16.5" thickBot="1" x14ac:dyDescent="0.3">
      <c r="A88" s="18" t="s">
        <v>8</v>
      </c>
      <c r="B88" s="22">
        <f>B86*100/80*100%</f>
        <v>258714632.8125</v>
      </c>
      <c r="C88" s="23"/>
      <c r="D88" s="20">
        <f>B88+C84</f>
        <v>291180782.8125</v>
      </c>
      <c r="E88" s="21">
        <f>E84*100/20*0%</f>
        <v>0</v>
      </c>
      <c r="F88" s="21">
        <f t="shared" si="10"/>
        <v>291180782.8125</v>
      </c>
      <c r="G88" s="21">
        <f t="shared" si="11"/>
        <v>258714632.8125</v>
      </c>
    </row>
    <row r="89" spans="1:7" x14ac:dyDescent="0.25">
      <c r="A89" s="26"/>
      <c r="B89" s="27"/>
      <c r="C89" s="28"/>
      <c r="D89" s="27"/>
      <c r="E89" s="27"/>
      <c r="F89" s="27"/>
      <c r="G89" s="27"/>
    </row>
    <row r="90" spans="1:7" x14ac:dyDescent="0.25">
      <c r="A90" s="3" t="s">
        <v>47</v>
      </c>
      <c r="B90" s="4" t="s">
        <v>28</v>
      </c>
      <c r="C90" s="3"/>
    </row>
    <row r="92" spans="1:7" x14ac:dyDescent="0.25">
      <c r="A92" s="5">
        <v>180799129</v>
      </c>
      <c r="B92" s="6" t="s">
        <v>43</v>
      </c>
    </row>
    <row r="93" spans="1:7" x14ac:dyDescent="0.25">
      <c r="A93" s="5">
        <f>A94-A94*85%</f>
        <v>34554300</v>
      </c>
      <c r="B93" s="6" t="s">
        <v>38</v>
      </c>
    </row>
    <row r="94" spans="1:7" x14ac:dyDescent="0.25">
      <c r="A94" s="5">
        <v>230362000</v>
      </c>
      <c r="B94" s="6" t="s">
        <v>44</v>
      </c>
    </row>
    <row r="95" spans="1:7" ht="16.5" thickBot="1" x14ac:dyDescent="0.3">
      <c r="B95" s="6"/>
      <c r="F95" s="1" t="s">
        <v>46</v>
      </c>
    </row>
    <row r="96" spans="1:7" ht="94.5" x14ac:dyDescent="0.25">
      <c r="A96" s="34" t="s">
        <v>15</v>
      </c>
      <c r="B96" s="30" t="s">
        <v>45</v>
      </c>
      <c r="C96" s="31" t="s">
        <v>50</v>
      </c>
      <c r="D96" s="32" t="s">
        <v>3</v>
      </c>
      <c r="E96" s="29" t="s">
        <v>4</v>
      </c>
      <c r="F96" s="29" t="s">
        <v>52</v>
      </c>
      <c r="G96" s="33" t="s">
        <v>22</v>
      </c>
    </row>
    <row r="97" spans="1:7" x14ac:dyDescent="0.25">
      <c r="A97" s="7"/>
      <c r="B97" s="10" t="s">
        <v>9</v>
      </c>
      <c r="C97" s="11" t="s">
        <v>10</v>
      </c>
      <c r="D97" s="8" t="s">
        <v>11</v>
      </c>
      <c r="E97" s="9" t="s">
        <v>12</v>
      </c>
      <c r="F97" s="9" t="s">
        <v>13</v>
      </c>
      <c r="G97" s="12">
        <v>6</v>
      </c>
    </row>
    <row r="98" spans="1:7" x14ac:dyDescent="0.25">
      <c r="A98" s="13" t="s">
        <v>2</v>
      </c>
      <c r="B98" s="35">
        <f>A94-A93</f>
        <v>195807700</v>
      </c>
      <c r="C98" s="36">
        <f>A93</f>
        <v>34554300</v>
      </c>
      <c r="D98" s="16">
        <f>B98+C98</f>
        <v>230362000</v>
      </c>
      <c r="E98" s="17">
        <f>A92</f>
        <v>180799129</v>
      </c>
      <c r="F98" s="17">
        <f>SUM(D98:E98)</f>
        <v>411161129</v>
      </c>
      <c r="G98" s="17">
        <f>B98+E98</f>
        <v>376606829</v>
      </c>
    </row>
    <row r="99" spans="1:7" x14ac:dyDescent="0.25">
      <c r="A99" s="18" t="s">
        <v>5</v>
      </c>
      <c r="B99" s="14">
        <f>B98*100/80*85%</f>
        <v>208045681.25</v>
      </c>
      <c r="C99" s="19"/>
      <c r="D99" s="20">
        <f>B99+C98</f>
        <v>242599981.25</v>
      </c>
      <c r="E99" s="21">
        <f>E98*100/20*15%</f>
        <v>135599346.75</v>
      </c>
      <c r="F99" s="21">
        <f t="shared" ref="F99:F102" si="12">SUM(D99:E99)</f>
        <v>378199328</v>
      </c>
      <c r="G99" s="21">
        <f t="shared" ref="G99:G102" si="13">B99+E99</f>
        <v>343645028</v>
      </c>
    </row>
    <row r="100" spans="1:7" x14ac:dyDescent="0.25">
      <c r="A100" s="18" t="s">
        <v>6</v>
      </c>
      <c r="B100" s="14">
        <f>B98*100/80*90%</f>
        <v>220283662.5</v>
      </c>
      <c r="C100" s="19"/>
      <c r="D100" s="20">
        <f>B100+C98</f>
        <v>254837962.5</v>
      </c>
      <c r="E100" s="21">
        <f>E98*100/20*10%</f>
        <v>90399564.5</v>
      </c>
      <c r="F100" s="21">
        <f t="shared" si="12"/>
        <v>345237527</v>
      </c>
      <c r="G100" s="21">
        <f t="shared" si="13"/>
        <v>310683227</v>
      </c>
    </row>
    <row r="101" spans="1:7" x14ac:dyDescent="0.25">
      <c r="A101" s="18" t="s">
        <v>7</v>
      </c>
      <c r="B101" s="14">
        <f>B100*100/80*95%</f>
        <v>261586849.21875</v>
      </c>
      <c r="C101" s="19"/>
      <c r="D101" s="20">
        <f>B101+C98</f>
        <v>296141149.21875</v>
      </c>
      <c r="E101" s="21">
        <f>E98*100/20*5%</f>
        <v>45199782.25</v>
      </c>
      <c r="F101" s="21">
        <f t="shared" si="12"/>
        <v>341340931.46875</v>
      </c>
      <c r="G101" s="21">
        <f t="shared" si="13"/>
        <v>306786631.46875</v>
      </c>
    </row>
    <row r="102" spans="1:7" ht="16.5" thickBot="1" x14ac:dyDescent="0.3">
      <c r="A102" s="18" t="s">
        <v>8</v>
      </c>
      <c r="B102" s="22">
        <f>B100*100/80*100%</f>
        <v>275354578.125</v>
      </c>
      <c r="C102" s="23"/>
      <c r="D102" s="20">
        <f>B102+C98</f>
        <v>309908878.125</v>
      </c>
      <c r="E102" s="21">
        <f>E98*100/20*0%</f>
        <v>0</v>
      </c>
      <c r="F102" s="21">
        <f t="shared" si="12"/>
        <v>309908878.125</v>
      </c>
      <c r="G102" s="21">
        <f t="shared" si="13"/>
        <v>275354578.125</v>
      </c>
    </row>
    <row r="104" spans="1:7" x14ac:dyDescent="0.25">
      <c r="A104" s="3" t="s">
        <v>48</v>
      </c>
      <c r="B104" s="4" t="s">
        <v>28</v>
      </c>
      <c r="C104" s="3"/>
    </row>
    <row r="106" spans="1:7" x14ac:dyDescent="0.25">
      <c r="A106" s="5">
        <v>180799129</v>
      </c>
      <c r="B106" s="6" t="s">
        <v>43</v>
      </c>
    </row>
    <row r="107" spans="1:7" x14ac:dyDescent="0.25">
      <c r="A107" s="5">
        <f>A108-A108*85%</f>
        <v>36641250</v>
      </c>
      <c r="B107" s="6" t="s">
        <v>38</v>
      </c>
    </row>
    <row r="108" spans="1:7" x14ac:dyDescent="0.25">
      <c r="A108" s="5">
        <v>244275000</v>
      </c>
      <c r="B108" s="6" t="s">
        <v>44</v>
      </c>
    </row>
    <row r="109" spans="1:7" ht="16.5" thickBot="1" x14ac:dyDescent="0.3">
      <c r="B109" s="6"/>
      <c r="F109" s="1" t="s">
        <v>49</v>
      </c>
    </row>
    <row r="110" spans="1:7" ht="94.5" x14ac:dyDescent="0.25">
      <c r="A110" s="34" t="s">
        <v>15</v>
      </c>
      <c r="B110" s="30" t="s">
        <v>45</v>
      </c>
      <c r="C110" s="31" t="s">
        <v>50</v>
      </c>
      <c r="D110" s="32" t="s">
        <v>3</v>
      </c>
      <c r="E110" s="29" t="s">
        <v>4</v>
      </c>
      <c r="F110" s="29" t="s">
        <v>53</v>
      </c>
      <c r="G110" s="33" t="s">
        <v>22</v>
      </c>
    </row>
    <row r="111" spans="1:7" x14ac:dyDescent="0.25">
      <c r="A111" s="7"/>
      <c r="B111" s="10" t="s">
        <v>9</v>
      </c>
      <c r="C111" s="11" t="s">
        <v>10</v>
      </c>
      <c r="D111" s="8" t="s">
        <v>11</v>
      </c>
      <c r="E111" s="9" t="s">
        <v>12</v>
      </c>
      <c r="F111" s="9" t="s">
        <v>13</v>
      </c>
      <c r="G111" s="12">
        <v>6</v>
      </c>
    </row>
    <row r="112" spans="1:7" x14ac:dyDescent="0.25">
      <c r="A112" s="13" t="s">
        <v>2</v>
      </c>
      <c r="B112" s="35">
        <f>A108-A107</f>
        <v>207633750</v>
      </c>
      <c r="C112" s="36">
        <f>A107</f>
        <v>36641250</v>
      </c>
      <c r="D112" s="16">
        <f>B112+C112</f>
        <v>244275000</v>
      </c>
      <c r="E112" s="17">
        <f>A106</f>
        <v>180799129</v>
      </c>
      <c r="F112" s="17">
        <f>SUM(D112:E112)</f>
        <v>425074129</v>
      </c>
      <c r="G112" s="17">
        <f>B112+E112</f>
        <v>388432879</v>
      </c>
    </row>
    <row r="113" spans="1:7" x14ac:dyDescent="0.25">
      <c r="A113" s="18" t="s">
        <v>5</v>
      </c>
      <c r="B113" s="14">
        <f>B112*100/80*85%</f>
        <v>220610859.375</v>
      </c>
      <c r="C113" s="19"/>
      <c r="D113" s="20">
        <f>B113+C112</f>
        <v>257252109.375</v>
      </c>
      <c r="E113" s="21">
        <f>E112*100/20*15%</f>
        <v>135599346.75</v>
      </c>
      <c r="F113" s="21">
        <f t="shared" ref="F113:F116" si="14">SUM(D113:E113)</f>
        <v>392851456.125</v>
      </c>
      <c r="G113" s="21">
        <f t="shared" ref="G113:G116" si="15">B113+E113</f>
        <v>356210206.125</v>
      </c>
    </row>
    <row r="114" spans="1:7" x14ac:dyDescent="0.25">
      <c r="A114" s="18" t="s">
        <v>6</v>
      </c>
      <c r="B114" s="14">
        <f>B112*100/80*90%</f>
        <v>233587968.75</v>
      </c>
      <c r="C114" s="19"/>
      <c r="D114" s="20">
        <f>B114+C112</f>
        <v>270229218.75</v>
      </c>
      <c r="E114" s="21">
        <f>E112*100/20*10%</f>
        <v>90399564.5</v>
      </c>
      <c r="F114" s="21">
        <f t="shared" si="14"/>
        <v>360628783.25</v>
      </c>
      <c r="G114" s="21">
        <f t="shared" si="15"/>
        <v>323987533.25</v>
      </c>
    </row>
    <row r="115" spans="1:7" x14ac:dyDescent="0.25">
      <c r="A115" s="18" t="s">
        <v>7</v>
      </c>
      <c r="B115" s="14">
        <f>B114*100/80*95%</f>
        <v>277385712.890625</v>
      </c>
      <c r="C115" s="19"/>
      <c r="D115" s="20">
        <f>B115+C112</f>
        <v>314026962.890625</v>
      </c>
      <c r="E115" s="21">
        <f>E112*100/20*5%</f>
        <v>45199782.25</v>
      </c>
      <c r="F115" s="21">
        <f t="shared" si="14"/>
        <v>359226745.140625</v>
      </c>
      <c r="G115" s="21">
        <f t="shared" si="15"/>
        <v>322585495.140625</v>
      </c>
    </row>
    <row r="116" spans="1:7" ht="16.5" thickBot="1" x14ac:dyDescent="0.3">
      <c r="A116" s="18" t="s">
        <v>8</v>
      </c>
      <c r="B116" s="22">
        <f>B114*100/80*100%</f>
        <v>291984960.9375</v>
      </c>
      <c r="C116" s="23"/>
      <c r="D116" s="20">
        <f>B116+C112</f>
        <v>328626210.9375</v>
      </c>
      <c r="E116" s="21">
        <f>E112*100/20*0%</f>
        <v>0</v>
      </c>
      <c r="F116" s="21">
        <f t="shared" si="14"/>
        <v>328626210.9375</v>
      </c>
      <c r="G116" s="21">
        <f t="shared" si="15"/>
        <v>291984960.9375</v>
      </c>
    </row>
  </sheetData>
  <mergeCells count="1">
    <mergeCell ref="B2:E2"/>
  </mergeCells>
  <pageMargins left="0.11811023622047245" right="0" top="0.59055118110236227" bottom="0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расчет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2025-04-10T00:09:37Z</dcterms:modified>
</cp:coreProperties>
</file>